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Tabelle1" sheetId="1" r:id="rId1"/>
    <sheet name="Tabelle2" sheetId="2" r:id="rId2"/>
    <sheet name="Tabelle3" sheetId="3" r:id="rId3"/>
    <sheet name="Tabelle4" sheetId="4" r:id="rId4"/>
  </sheets>
  <calcPr calcId="114210"/>
</workbook>
</file>

<file path=xl/calcChain.xml><?xml version="1.0" encoding="utf-8"?>
<calcChain xmlns="http://schemas.openxmlformats.org/spreadsheetml/2006/main">
  <c r="I27" i="2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C89" i="1"/>
  <c r="C90"/>
  <c r="C91"/>
  <c r="C92"/>
  <c r="D92"/>
  <c r="F92"/>
  <c r="G92"/>
  <c r="C88"/>
  <c r="D90"/>
  <c r="F90"/>
  <c r="G90"/>
  <c r="D88"/>
  <c r="F88"/>
  <c r="G88"/>
  <c r="D91"/>
  <c r="F91"/>
  <c r="G91"/>
  <c r="D89"/>
  <c r="F89"/>
  <c r="G89"/>
  <c r="F8" i="4"/>
  <c r="F8" i="2"/>
  <c r="W108" i="3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R47" i="1"/>
  <c r="R46"/>
  <c r="R45"/>
  <c r="R44"/>
  <c r="V40"/>
  <c r="V38"/>
  <c r="V39"/>
  <c r="V37"/>
  <c r="F1061" i="4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Z1060"/>
  <c r="AA1060"/>
  <c r="AB1060"/>
  <c r="AC1060"/>
  <c r="AD1060"/>
  <c r="AE1060"/>
  <c r="H1060"/>
  <c r="F947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Z946"/>
  <c r="AA946"/>
  <c r="AB946"/>
  <c r="AC946"/>
  <c r="AD946"/>
  <c r="AE946"/>
  <c r="H946"/>
  <c r="F833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Z832"/>
  <c r="AA832"/>
  <c r="AB832"/>
  <c r="AC832"/>
  <c r="AD832"/>
  <c r="AE832"/>
  <c r="H832"/>
  <c r="F719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Z718"/>
  <c r="AA718"/>
  <c r="AB718"/>
  <c r="AC718"/>
  <c r="AD718"/>
  <c r="AE718"/>
  <c r="H718"/>
  <c r="F605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Z604"/>
  <c r="AA604"/>
  <c r="AB604"/>
  <c r="AC604"/>
  <c r="AD604"/>
  <c r="AE604"/>
  <c r="H604"/>
  <c r="F491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Z490"/>
  <c r="AA490"/>
  <c r="AB490"/>
  <c r="AC490"/>
  <c r="AD490"/>
  <c r="AE490"/>
  <c r="H490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Z376"/>
  <c r="AA376"/>
  <c r="AB376"/>
  <c r="AC376"/>
  <c r="AD376"/>
  <c r="AE376"/>
  <c r="F377"/>
  <c r="H376"/>
  <c r="F263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AE262"/>
  <c r="H262"/>
  <c r="F142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H141"/>
  <c r="A97"/>
  <c r="C114"/>
  <c r="F89"/>
  <c r="F88"/>
  <c r="F8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H18"/>
  <c r="F18"/>
  <c r="F16"/>
  <c r="F15"/>
  <c r="F337"/>
  <c r="F14"/>
  <c r="F13"/>
  <c r="F11"/>
  <c r="H377"/>
  <c r="F10"/>
  <c r="F9"/>
  <c r="F7"/>
  <c r="F6"/>
  <c r="AE71"/>
  <c r="I1060" i="2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Z1060"/>
  <c r="AA1060"/>
  <c r="AB1060"/>
  <c r="AC1060"/>
  <c r="AD1060"/>
  <c r="AE1060"/>
  <c r="H1060"/>
  <c r="F1061"/>
  <c r="F947"/>
  <c r="F833"/>
  <c r="F719"/>
  <c r="F605"/>
  <c r="F491"/>
  <c r="F377"/>
  <c r="F263"/>
  <c r="F142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Z946"/>
  <c r="AA946"/>
  <c r="AB946"/>
  <c r="AC946"/>
  <c r="AD946"/>
  <c r="AE946"/>
  <c r="H946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Z832"/>
  <c r="AA832"/>
  <c r="AB832"/>
  <c r="AC832"/>
  <c r="AD832"/>
  <c r="AE832"/>
  <c r="H832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Z718"/>
  <c r="AA718"/>
  <c r="AB718"/>
  <c r="AC718"/>
  <c r="AD718"/>
  <c r="AE718"/>
  <c r="H718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Z604"/>
  <c r="AA604"/>
  <c r="AB604"/>
  <c r="AC604"/>
  <c r="AD604"/>
  <c r="AE604"/>
  <c r="H604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Z490"/>
  <c r="AA490"/>
  <c r="AB490"/>
  <c r="AC490"/>
  <c r="AD490"/>
  <c r="AE490"/>
  <c r="H490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AE262"/>
  <c r="F47" i="1"/>
  <c r="J62"/>
  <c r="H18" i="2"/>
  <c r="F18"/>
  <c r="F14"/>
  <c r="F13"/>
  <c r="F45" i="1"/>
  <c r="F12" i="4"/>
  <c r="O55" i="1"/>
  <c r="O22" i="4"/>
  <c r="O24"/>
  <c r="I376" i="2"/>
  <c r="J376"/>
  <c r="K376"/>
  <c r="L376"/>
  <c r="M376"/>
  <c r="N376"/>
  <c r="O376"/>
  <c r="P376"/>
  <c r="Q376"/>
  <c r="R376"/>
  <c r="S376"/>
  <c r="T376"/>
  <c r="U376"/>
  <c r="V376"/>
  <c r="W376"/>
  <c r="X376"/>
  <c r="Y376"/>
  <c r="Z376"/>
  <c r="AA376"/>
  <c r="AB376"/>
  <c r="AC376"/>
  <c r="AD376"/>
  <c r="AE376"/>
  <c r="H376"/>
  <c r="H262"/>
  <c r="J28"/>
  <c r="J28" i="4"/>
  <c r="AE62" i="1"/>
  <c r="AC62"/>
  <c r="AA62"/>
  <c r="Y62"/>
  <c r="W62"/>
  <c r="U62"/>
  <c r="S62"/>
  <c r="Q62"/>
  <c r="O62"/>
  <c r="M62"/>
  <c r="K62"/>
  <c r="I62"/>
  <c r="F17" i="4"/>
  <c r="AD62" i="1"/>
  <c r="AB62"/>
  <c r="Z62"/>
  <c r="X62"/>
  <c r="V62"/>
  <c r="T62"/>
  <c r="R62"/>
  <c r="P62"/>
  <c r="N62"/>
  <c r="L62"/>
  <c r="F12" i="2"/>
  <c r="AE1157" i="4"/>
  <c r="AC1157"/>
  <c r="AA1157"/>
  <c r="Y1157"/>
  <c r="W1157"/>
  <c r="U1157"/>
  <c r="S1157"/>
  <c r="Q1157"/>
  <c r="O1157"/>
  <c r="M1157"/>
  <c r="K1157"/>
  <c r="I1157"/>
  <c r="AE1127"/>
  <c r="AC1127"/>
  <c r="AA1127"/>
  <c r="Y1127"/>
  <c r="W1127"/>
  <c r="U1127"/>
  <c r="S1127"/>
  <c r="Q1127"/>
  <c r="O1127"/>
  <c r="M1127"/>
  <c r="K1127"/>
  <c r="I1127"/>
  <c r="AE1083"/>
  <c r="AC1083"/>
  <c r="AA1083"/>
  <c r="Y1083"/>
  <c r="W1083"/>
  <c r="U1083"/>
  <c r="S1083"/>
  <c r="Q1083"/>
  <c r="O1083"/>
  <c r="M1083"/>
  <c r="K1083"/>
  <c r="I1083"/>
  <c r="AE1043"/>
  <c r="AC1043"/>
  <c r="AA1043"/>
  <c r="Y1043"/>
  <c r="W1043"/>
  <c r="U1043"/>
  <c r="S1043"/>
  <c r="Q1043"/>
  <c r="O1043"/>
  <c r="M1043"/>
  <c r="K1043"/>
  <c r="I1043"/>
  <c r="AE1013"/>
  <c r="AC1013"/>
  <c r="AA1013"/>
  <c r="Y1013"/>
  <c r="W1013"/>
  <c r="U1013"/>
  <c r="S1013"/>
  <c r="Q1013"/>
  <c r="O1013"/>
  <c r="M1013"/>
  <c r="K1013"/>
  <c r="I1013"/>
  <c r="AE969"/>
  <c r="AC969"/>
  <c r="AA969"/>
  <c r="Y969"/>
  <c r="W969"/>
  <c r="U969"/>
  <c r="S969"/>
  <c r="Q969"/>
  <c r="O969"/>
  <c r="M969"/>
  <c r="K969"/>
  <c r="I969"/>
  <c r="AE929"/>
  <c r="AC929"/>
  <c r="AA929"/>
  <c r="Y929"/>
  <c r="W929"/>
  <c r="U929"/>
  <c r="S929"/>
  <c r="Q929"/>
  <c r="O929"/>
  <c r="M929"/>
  <c r="K929"/>
  <c r="I929"/>
  <c r="AE899"/>
  <c r="AC899"/>
  <c r="AA899"/>
  <c r="Y899"/>
  <c r="W899"/>
  <c r="U899"/>
  <c r="S899"/>
  <c r="Q899"/>
  <c r="O899"/>
  <c r="M899"/>
  <c r="K899"/>
  <c r="I899"/>
  <c r="AE855"/>
  <c r="AC855"/>
  <c r="AA855"/>
  <c r="Y855"/>
  <c r="W855"/>
  <c r="U855"/>
  <c r="S855"/>
  <c r="Q855"/>
  <c r="O855"/>
  <c r="M855"/>
  <c r="K855"/>
  <c r="I855"/>
  <c r="AE815"/>
  <c r="AC815"/>
  <c r="AA815"/>
  <c r="Y815"/>
  <c r="W815"/>
  <c r="U815"/>
  <c r="S815"/>
  <c r="Q815"/>
  <c r="O815"/>
  <c r="M815"/>
  <c r="K815"/>
  <c r="I815"/>
  <c r="AE785"/>
  <c r="AC785"/>
  <c r="AA785"/>
  <c r="Y785"/>
  <c r="W785"/>
  <c r="U785"/>
  <c r="S785"/>
  <c r="Q785"/>
  <c r="O785"/>
  <c r="M785"/>
  <c r="K785"/>
  <c r="I785"/>
  <c r="AE741"/>
  <c r="AC741"/>
  <c r="AA741"/>
  <c r="Y741"/>
  <c r="W741"/>
  <c r="U741"/>
  <c r="S741"/>
  <c r="Q741"/>
  <c r="O741"/>
  <c r="M741"/>
  <c r="K741"/>
  <c r="I741"/>
  <c r="AE701"/>
  <c r="AC701"/>
  <c r="AA701"/>
  <c r="Y701"/>
  <c r="W701"/>
  <c r="U701"/>
  <c r="S701"/>
  <c r="Q701"/>
  <c r="O701"/>
  <c r="M701"/>
  <c r="K701"/>
  <c r="I701"/>
  <c r="AE671"/>
  <c r="AC671"/>
  <c r="AA671"/>
  <c r="Y671"/>
  <c r="W671"/>
  <c r="U671"/>
  <c r="S671"/>
  <c r="Q671"/>
  <c r="O671"/>
  <c r="M671"/>
  <c r="K671"/>
  <c r="I671"/>
  <c r="AE627"/>
  <c r="AC627"/>
  <c r="AA627"/>
  <c r="Y627"/>
  <c r="W627"/>
  <c r="U627"/>
  <c r="S627"/>
  <c r="Q627"/>
  <c r="O627"/>
  <c r="M627"/>
  <c r="K627"/>
  <c r="I627"/>
  <c r="AE587"/>
  <c r="AC587"/>
  <c r="AA587"/>
  <c r="Y587"/>
  <c r="W587"/>
  <c r="U587"/>
  <c r="S587"/>
  <c r="Q587"/>
  <c r="O587"/>
  <c r="M587"/>
  <c r="K587"/>
  <c r="I587"/>
  <c r="AE557"/>
  <c r="AC557"/>
  <c r="AA557"/>
  <c r="Y557"/>
  <c r="W557"/>
  <c r="U557"/>
  <c r="S557"/>
  <c r="Q557"/>
  <c r="O557"/>
  <c r="M557"/>
  <c r="K557"/>
  <c r="I557"/>
  <c r="AE513"/>
  <c r="AC513"/>
  <c r="AA513"/>
  <c r="Y513"/>
  <c r="W513"/>
  <c r="U513"/>
  <c r="S513"/>
  <c r="Q513"/>
  <c r="O513"/>
  <c r="M513"/>
  <c r="K513"/>
  <c r="I513"/>
  <c r="AE473"/>
  <c r="AC473"/>
  <c r="AA473"/>
  <c r="Y473"/>
  <c r="W473"/>
  <c r="U473"/>
  <c r="S473"/>
  <c r="Q473"/>
  <c r="O473"/>
  <c r="M473"/>
  <c r="K473"/>
  <c r="I473"/>
  <c r="AE443"/>
  <c r="AC443"/>
  <c r="AA443"/>
  <c r="Y443"/>
  <c r="W443"/>
  <c r="U443"/>
  <c r="S443"/>
  <c r="Q443"/>
  <c r="O443"/>
  <c r="M443"/>
  <c r="K443"/>
  <c r="I443"/>
  <c r="AE399"/>
  <c r="AC399"/>
  <c r="AA399"/>
  <c r="Y399"/>
  <c r="W399"/>
  <c r="U399"/>
  <c r="S399"/>
  <c r="Q399"/>
  <c r="O399"/>
  <c r="M399"/>
  <c r="K399"/>
  <c r="I399"/>
  <c r="AE359"/>
  <c r="AC359"/>
  <c r="AA359"/>
  <c r="Y359"/>
  <c r="AD1157"/>
  <c r="AB1157"/>
  <c r="Z1157"/>
  <c r="X1157"/>
  <c r="V1157"/>
  <c r="T1157"/>
  <c r="R1157"/>
  <c r="P1157"/>
  <c r="N1157"/>
  <c r="L1157"/>
  <c r="J1157"/>
  <c r="H1157"/>
  <c r="AD1127"/>
  <c r="AB1127"/>
  <c r="Z1127"/>
  <c r="X1127"/>
  <c r="V1127"/>
  <c r="T1127"/>
  <c r="R1127"/>
  <c r="P1127"/>
  <c r="N1127"/>
  <c r="L1127"/>
  <c r="J1127"/>
  <c r="H1127"/>
  <c r="AD1083"/>
  <c r="AB1083"/>
  <c r="Z1083"/>
  <c r="X1083"/>
  <c r="V1083"/>
  <c r="T1083"/>
  <c r="R1083"/>
  <c r="P1083"/>
  <c r="N1083"/>
  <c r="L1083"/>
  <c r="J1083"/>
  <c r="H1083"/>
  <c r="AD1043"/>
  <c r="AB1043"/>
  <c r="Z1043"/>
  <c r="X1043"/>
  <c r="V1043"/>
  <c r="T1043"/>
  <c r="R1043"/>
  <c r="P1043"/>
  <c r="N1043"/>
  <c r="L1043"/>
  <c r="J1043"/>
  <c r="H1043"/>
  <c r="AD1013"/>
  <c r="AB1013"/>
  <c r="Z1013"/>
  <c r="X1013"/>
  <c r="V1013"/>
  <c r="T1013"/>
  <c r="R1013"/>
  <c r="P1013"/>
  <c r="N1013"/>
  <c r="L1013"/>
  <c r="J1013"/>
  <c r="H1013"/>
  <c r="AD969"/>
  <c r="AB969"/>
  <c r="Z969"/>
  <c r="X969"/>
  <c r="V969"/>
  <c r="T969"/>
  <c r="R969"/>
  <c r="P969"/>
  <c r="N969"/>
  <c r="L969"/>
  <c r="J969"/>
  <c r="H969"/>
  <c r="AD929"/>
  <c r="AB929"/>
  <c r="Z929"/>
  <c r="X929"/>
  <c r="V929"/>
  <c r="T929"/>
  <c r="R929"/>
  <c r="P929"/>
  <c r="N929"/>
  <c r="L929"/>
  <c r="J929"/>
  <c r="H929"/>
  <c r="AD899"/>
  <c r="AB899"/>
  <c r="Z899"/>
  <c r="X899"/>
  <c r="V899"/>
  <c r="T899"/>
  <c r="R899"/>
  <c r="P899"/>
  <c r="N899"/>
  <c r="L899"/>
  <c r="J899"/>
  <c r="H899"/>
  <c r="AD855"/>
  <c r="AB855"/>
  <c r="Z855"/>
  <c r="X855"/>
  <c r="V855"/>
  <c r="T855"/>
  <c r="R855"/>
  <c r="P855"/>
  <c r="N855"/>
  <c r="L855"/>
  <c r="J855"/>
  <c r="H855"/>
  <c r="AD815"/>
  <c r="AB815"/>
  <c r="Z815"/>
  <c r="X815"/>
  <c r="V815"/>
  <c r="T815"/>
  <c r="R815"/>
  <c r="P815"/>
  <c r="N815"/>
  <c r="L815"/>
  <c r="J815"/>
  <c r="H815"/>
  <c r="AD785"/>
  <c r="AB785"/>
  <c r="Z785"/>
  <c r="X785"/>
  <c r="V785"/>
  <c r="T785"/>
  <c r="R785"/>
  <c r="P785"/>
  <c r="N785"/>
  <c r="L785"/>
  <c r="J785"/>
  <c r="H785"/>
  <c r="AD741"/>
  <c r="AB741"/>
  <c r="Z741"/>
  <c r="X741"/>
  <c r="V741"/>
  <c r="T741"/>
  <c r="R741"/>
  <c r="P741"/>
  <c r="N741"/>
  <c r="L741"/>
  <c r="J741"/>
  <c r="H741"/>
  <c r="AD701"/>
  <c r="AB701"/>
  <c r="Z701"/>
  <c r="X701"/>
  <c r="V701"/>
  <c r="T701"/>
  <c r="R701"/>
  <c r="P701"/>
  <c r="N701"/>
  <c r="L701"/>
  <c r="J701"/>
  <c r="H701"/>
  <c r="AD671"/>
  <c r="AB671"/>
  <c r="Z671"/>
  <c r="X671"/>
  <c r="V671"/>
  <c r="T671"/>
  <c r="R671"/>
  <c r="P671"/>
  <c r="N671"/>
  <c r="L671"/>
  <c r="J671"/>
  <c r="H671"/>
  <c r="AD627"/>
  <c r="AB627"/>
  <c r="Z627"/>
  <c r="X627"/>
  <c r="V627"/>
  <c r="T627"/>
  <c r="R627"/>
  <c r="P627"/>
  <c r="N627"/>
  <c r="L627"/>
  <c r="J627"/>
  <c r="H627"/>
  <c r="AD587"/>
  <c r="AB587"/>
  <c r="Z587"/>
  <c r="X587"/>
  <c r="V587"/>
  <c r="T587"/>
  <c r="R587"/>
  <c r="P587"/>
  <c r="N587"/>
  <c r="L587"/>
  <c r="J587"/>
  <c r="H587"/>
  <c r="AD557"/>
  <c r="AB557"/>
  <c r="Z557"/>
  <c r="X557"/>
  <c r="V557"/>
  <c r="T557"/>
  <c r="R557"/>
  <c r="P557"/>
  <c r="N557"/>
  <c r="L557"/>
  <c r="J557"/>
  <c r="H557"/>
  <c r="AD513"/>
  <c r="AB513"/>
  <c r="Z513"/>
  <c r="X513"/>
  <c r="V513"/>
  <c r="T513"/>
  <c r="R513"/>
  <c r="P513"/>
  <c r="N513"/>
  <c r="L513"/>
  <c r="J513"/>
  <c r="H513"/>
  <c r="AD473"/>
  <c r="AB473"/>
  <c r="Z473"/>
  <c r="X473"/>
  <c r="V473"/>
  <c r="T473"/>
  <c r="H142"/>
  <c r="J213"/>
  <c r="H263"/>
  <c r="H491"/>
  <c r="H605"/>
  <c r="H719"/>
  <c r="H833"/>
  <c r="H947"/>
  <c r="H1061"/>
  <c r="I164"/>
  <c r="K164"/>
  <c r="M164"/>
  <c r="O164"/>
  <c r="Q164"/>
  <c r="S164"/>
  <c r="U164"/>
  <c r="W164"/>
  <c r="Y164"/>
  <c r="AA164"/>
  <c r="AC164"/>
  <c r="AE164"/>
  <c r="I215"/>
  <c r="K215"/>
  <c r="M215"/>
  <c r="O215"/>
  <c r="Q215"/>
  <c r="S215"/>
  <c r="U215"/>
  <c r="W215"/>
  <c r="Y215"/>
  <c r="AA215"/>
  <c r="AC215"/>
  <c r="AE215"/>
  <c r="I245"/>
  <c r="K245"/>
  <c r="M245"/>
  <c r="O245"/>
  <c r="Q245"/>
  <c r="S245"/>
  <c r="U245"/>
  <c r="W245"/>
  <c r="Y245"/>
  <c r="AA245"/>
  <c r="AC245"/>
  <c r="AE245"/>
  <c r="I285"/>
  <c r="K285"/>
  <c r="M285"/>
  <c r="O285"/>
  <c r="Q285"/>
  <c r="S285"/>
  <c r="U285"/>
  <c r="W285"/>
  <c r="Y285"/>
  <c r="AA285"/>
  <c r="AC285"/>
  <c r="AE285"/>
  <c r="I329"/>
  <c r="K329"/>
  <c r="M329"/>
  <c r="O329"/>
  <c r="Q329"/>
  <c r="S329"/>
  <c r="U329"/>
  <c r="W329"/>
  <c r="Y329"/>
  <c r="AA329"/>
  <c r="AC329"/>
  <c r="AE329"/>
  <c r="I359"/>
  <c r="K359"/>
  <c r="M359"/>
  <c r="O359"/>
  <c r="Q359"/>
  <c r="S359"/>
  <c r="U359"/>
  <c r="W359"/>
  <c r="Z359"/>
  <c r="AD359"/>
  <c r="J399"/>
  <c r="N399"/>
  <c r="R399"/>
  <c r="V399"/>
  <c r="Z399"/>
  <c r="AD399"/>
  <c r="J443"/>
  <c r="N443"/>
  <c r="R443"/>
  <c r="V443"/>
  <c r="Z443"/>
  <c r="AD443"/>
  <c r="J473"/>
  <c r="N473"/>
  <c r="R473"/>
  <c r="H164"/>
  <c r="J164"/>
  <c r="L164"/>
  <c r="N164"/>
  <c r="P164"/>
  <c r="R164"/>
  <c r="T164"/>
  <c r="V164"/>
  <c r="X164"/>
  <c r="Z164"/>
  <c r="AB164"/>
  <c r="AD164"/>
  <c r="H215"/>
  <c r="J215"/>
  <c r="L215"/>
  <c r="N215"/>
  <c r="P215"/>
  <c r="R215"/>
  <c r="T215"/>
  <c r="V215"/>
  <c r="X215"/>
  <c r="Z215"/>
  <c r="AB215"/>
  <c r="AD215"/>
  <c r="H245"/>
  <c r="J245"/>
  <c r="L245"/>
  <c r="N245"/>
  <c r="P245"/>
  <c r="R245"/>
  <c r="T245"/>
  <c r="V245"/>
  <c r="X245"/>
  <c r="Z245"/>
  <c r="AB245"/>
  <c r="AD245"/>
  <c r="H285"/>
  <c r="J285"/>
  <c r="L285"/>
  <c r="N285"/>
  <c r="P285"/>
  <c r="R285"/>
  <c r="T285"/>
  <c r="V285"/>
  <c r="X285"/>
  <c r="Z285"/>
  <c r="AB285"/>
  <c r="AD285"/>
  <c r="H329"/>
  <c r="J329"/>
  <c r="L329"/>
  <c r="N329"/>
  <c r="P329"/>
  <c r="R329"/>
  <c r="T329"/>
  <c r="V329"/>
  <c r="X329"/>
  <c r="Z329"/>
  <c r="AB329"/>
  <c r="AD329"/>
  <c r="H359"/>
  <c r="J359"/>
  <c r="L359"/>
  <c r="N359"/>
  <c r="P359"/>
  <c r="R359"/>
  <c r="T359"/>
  <c r="V359"/>
  <c r="X359"/>
  <c r="AB359"/>
  <c r="H399"/>
  <c r="L399"/>
  <c r="P399"/>
  <c r="T399"/>
  <c r="X399"/>
  <c r="AB399"/>
  <c r="H443"/>
  <c r="L443"/>
  <c r="P443"/>
  <c r="T443"/>
  <c r="X443"/>
  <c r="AB443"/>
  <c r="H473"/>
  <c r="L473"/>
  <c r="P473"/>
  <c r="AE1143"/>
  <c r="AE1145"/>
  <c r="AE1135"/>
  <c r="AE1141"/>
  <c r="AE1102"/>
  <c r="AE1091"/>
  <c r="AE1065"/>
  <c r="AE1067"/>
  <c r="AE1054"/>
  <c r="AE1104"/>
  <c r="AE1106"/>
  <c r="AE1062"/>
  <c r="AE1053"/>
  <c r="AD182"/>
  <c r="AB182"/>
  <c r="Z182"/>
  <c r="X182"/>
  <c r="V182"/>
  <c r="T182"/>
  <c r="R182"/>
  <c r="P182"/>
  <c r="N182"/>
  <c r="L182"/>
  <c r="J182"/>
  <c r="H182"/>
  <c r="AE131"/>
  <c r="AC131"/>
  <c r="AA131"/>
  <c r="Y131"/>
  <c r="W131"/>
  <c r="U131"/>
  <c r="S131"/>
  <c r="Q131"/>
  <c r="O131"/>
  <c r="M131"/>
  <c r="K131"/>
  <c r="I131"/>
  <c r="AE182"/>
  <c r="AC182"/>
  <c r="AA182"/>
  <c r="Y182"/>
  <c r="W182"/>
  <c r="U182"/>
  <c r="S182"/>
  <c r="Q182"/>
  <c r="O182"/>
  <c r="M182"/>
  <c r="K182"/>
  <c r="I182"/>
  <c r="AD131"/>
  <c r="AB131"/>
  <c r="Z131"/>
  <c r="X131"/>
  <c r="V131"/>
  <c r="T131"/>
  <c r="R131"/>
  <c r="P131"/>
  <c r="N131"/>
  <c r="L131"/>
  <c r="J131"/>
  <c r="H131"/>
  <c r="AD1137"/>
  <c r="AB1137"/>
  <c r="Z1137"/>
  <c r="X1137"/>
  <c r="V1137"/>
  <c r="T1137"/>
  <c r="R1137"/>
  <c r="P1137"/>
  <c r="N1137"/>
  <c r="L1137"/>
  <c r="J1137"/>
  <c r="H1137"/>
  <c r="E1125"/>
  <c r="AE1137"/>
  <c r="AC1137"/>
  <c r="AA1137"/>
  <c r="Y1137"/>
  <c r="W1137"/>
  <c r="U1137"/>
  <c r="S1137"/>
  <c r="Q1137"/>
  <c r="O1137"/>
  <c r="M1137"/>
  <c r="K1137"/>
  <c r="I1137"/>
  <c r="AE1097"/>
  <c r="AC1097"/>
  <c r="AA1097"/>
  <c r="Y1097"/>
  <c r="W1097"/>
  <c r="U1097"/>
  <c r="S1097"/>
  <c r="Q1097"/>
  <c r="O1097"/>
  <c r="M1097"/>
  <c r="K1097"/>
  <c r="I1097"/>
  <c r="AD1097"/>
  <c r="AB1097"/>
  <c r="Z1097"/>
  <c r="X1097"/>
  <c r="V1097"/>
  <c r="T1097"/>
  <c r="R1097"/>
  <c r="P1097"/>
  <c r="N1097"/>
  <c r="L1097"/>
  <c r="J1097"/>
  <c r="H1097"/>
  <c r="E1097"/>
  <c r="AE1023"/>
  <c r="AC1023"/>
  <c r="AA1023"/>
  <c r="Y1023"/>
  <c r="W1023"/>
  <c r="U1023"/>
  <c r="S1023"/>
  <c r="Q1023"/>
  <c r="O1023"/>
  <c r="M1023"/>
  <c r="K1023"/>
  <c r="I1023"/>
  <c r="AD983"/>
  <c r="AB983"/>
  <c r="Z983"/>
  <c r="X983"/>
  <c r="V983"/>
  <c r="T983"/>
  <c r="R983"/>
  <c r="P983"/>
  <c r="N983"/>
  <c r="L983"/>
  <c r="J983"/>
  <c r="H983"/>
  <c r="E983"/>
  <c r="AD1023"/>
  <c r="AB1023"/>
  <c r="Z1023"/>
  <c r="X1023"/>
  <c r="V1023"/>
  <c r="T1023"/>
  <c r="R1023"/>
  <c r="P1023"/>
  <c r="N1023"/>
  <c r="L1023"/>
  <c r="J1023"/>
  <c r="H1023"/>
  <c r="E1011"/>
  <c r="AE983"/>
  <c r="AC983"/>
  <c r="AA983"/>
  <c r="Y983"/>
  <c r="W983"/>
  <c r="U983"/>
  <c r="S983"/>
  <c r="Q983"/>
  <c r="O983"/>
  <c r="M983"/>
  <c r="K983"/>
  <c r="I983"/>
  <c r="AD909"/>
  <c r="AB909"/>
  <c r="Z909"/>
  <c r="X909"/>
  <c r="V909"/>
  <c r="T909"/>
  <c r="R909"/>
  <c r="P909"/>
  <c r="N909"/>
  <c r="L909"/>
  <c r="J909"/>
  <c r="H909"/>
  <c r="E897"/>
  <c r="AE869"/>
  <c r="AC869"/>
  <c r="AA869"/>
  <c r="Y869"/>
  <c r="W869"/>
  <c r="U869"/>
  <c r="S869"/>
  <c r="Q869"/>
  <c r="O869"/>
  <c r="M869"/>
  <c r="K869"/>
  <c r="I869"/>
  <c r="AE909"/>
  <c r="AC909"/>
  <c r="AA909"/>
  <c r="Y909"/>
  <c r="W909"/>
  <c r="U909"/>
  <c r="S909"/>
  <c r="Q909"/>
  <c r="O909"/>
  <c r="M909"/>
  <c r="K909"/>
  <c r="I909"/>
  <c r="AD869"/>
  <c r="AB869"/>
  <c r="Z869"/>
  <c r="X869"/>
  <c r="V869"/>
  <c r="T869"/>
  <c r="R869"/>
  <c r="P869"/>
  <c r="N869"/>
  <c r="L869"/>
  <c r="J869"/>
  <c r="H869"/>
  <c r="E869"/>
  <c r="AD795"/>
  <c r="AB795"/>
  <c r="Z795"/>
  <c r="X795"/>
  <c r="V795"/>
  <c r="T795"/>
  <c r="R795"/>
  <c r="P795"/>
  <c r="N795"/>
  <c r="L795"/>
  <c r="J795"/>
  <c r="H795"/>
  <c r="E783"/>
  <c r="AE755"/>
  <c r="AC755"/>
  <c r="AA755"/>
  <c r="Y755"/>
  <c r="W755"/>
  <c r="U755"/>
  <c r="S755"/>
  <c r="Q755"/>
  <c r="O755"/>
  <c r="M755"/>
  <c r="K755"/>
  <c r="I755"/>
  <c r="AE681"/>
  <c r="AC681"/>
  <c r="AA681"/>
  <c r="Y681"/>
  <c r="W681"/>
  <c r="U681"/>
  <c r="S681"/>
  <c r="Q681"/>
  <c r="O681"/>
  <c r="M681"/>
  <c r="K681"/>
  <c r="I681"/>
  <c r="AD641"/>
  <c r="AB641"/>
  <c r="Z641"/>
  <c r="X641"/>
  <c r="V641"/>
  <c r="T641"/>
  <c r="R641"/>
  <c r="P641"/>
  <c r="N641"/>
  <c r="L641"/>
  <c r="J641"/>
  <c r="H641"/>
  <c r="E641"/>
  <c r="AE795"/>
  <c r="AC795"/>
  <c r="AA795"/>
  <c r="Y795"/>
  <c r="W795"/>
  <c r="U795"/>
  <c r="S795"/>
  <c r="Q795"/>
  <c r="O795"/>
  <c r="M795"/>
  <c r="K795"/>
  <c r="I795"/>
  <c r="AD755"/>
  <c r="AB755"/>
  <c r="Z755"/>
  <c r="X755"/>
  <c r="V755"/>
  <c r="T755"/>
  <c r="R755"/>
  <c r="P755"/>
  <c r="N755"/>
  <c r="L755"/>
  <c r="J755"/>
  <c r="H755"/>
  <c r="E755"/>
  <c r="AD681"/>
  <c r="AB681"/>
  <c r="Z681"/>
  <c r="X681"/>
  <c r="V681"/>
  <c r="T681"/>
  <c r="R681"/>
  <c r="P681"/>
  <c r="N681"/>
  <c r="L681"/>
  <c r="J681"/>
  <c r="H681"/>
  <c r="E669"/>
  <c r="AE641"/>
  <c r="AC641"/>
  <c r="AA641"/>
  <c r="Y641"/>
  <c r="W641"/>
  <c r="U641"/>
  <c r="S641"/>
  <c r="Q641"/>
  <c r="O641"/>
  <c r="M641"/>
  <c r="K641"/>
  <c r="I641"/>
  <c r="AE567"/>
  <c r="AC567"/>
  <c r="AA567"/>
  <c r="Y567"/>
  <c r="W567"/>
  <c r="U567"/>
  <c r="S567"/>
  <c r="Q567"/>
  <c r="O567"/>
  <c r="M567"/>
  <c r="K567"/>
  <c r="I567"/>
  <c r="AD527"/>
  <c r="AB527"/>
  <c r="Z527"/>
  <c r="X527"/>
  <c r="V527"/>
  <c r="T527"/>
  <c r="R527"/>
  <c r="P527"/>
  <c r="N527"/>
  <c r="L527"/>
  <c r="J527"/>
  <c r="H527"/>
  <c r="E527"/>
  <c r="AD453"/>
  <c r="AB453"/>
  <c r="Z453"/>
  <c r="X453"/>
  <c r="V453"/>
  <c r="T453"/>
  <c r="R453"/>
  <c r="P453"/>
  <c r="N453"/>
  <c r="L453"/>
  <c r="J453"/>
  <c r="H453"/>
  <c r="E441"/>
  <c r="AE413"/>
  <c r="AC413"/>
  <c r="AA413"/>
  <c r="Y413"/>
  <c r="W413"/>
  <c r="U413"/>
  <c r="S413"/>
  <c r="Q413"/>
  <c r="O413"/>
  <c r="M413"/>
  <c r="K413"/>
  <c r="I413"/>
  <c r="AD567"/>
  <c r="AB567"/>
  <c r="Z567"/>
  <c r="X567"/>
  <c r="V567"/>
  <c r="T567"/>
  <c r="R567"/>
  <c r="P567"/>
  <c r="N567"/>
  <c r="L567"/>
  <c r="J567"/>
  <c r="H567"/>
  <c r="E555"/>
  <c r="AE527"/>
  <c r="AC527"/>
  <c r="AA527"/>
  <c r="Y527"/>
  <c r="W527"/>
  <c r="U527"/>
  <c r="S527"/>
  <c r="Q527"/>
  <c r="O527"/>
  <c r="M527"/>
  <c r="K527"/>
  <c r="I527"/>
  <c r="AE453"/>
  <c r="AC453"/>
  <c r="AA453"/>
  <c r="Y453"/>
  <c r="W453"/>
  <c r="U453"/>
  <c r="S453"/>
  <c r="Q453"/>
  <c r="O453"/>
  <c r="M453"/>
  <c r="K453"/>
  <c r="I453"/>
  <c r="AD413"/>
  <c r="AB413"/>
  <c r="Z413"/>
  <c r="X413"/>
  <c r="V413"/>
  <c r="T413"/>
  <c r="R413"/>
  <c r="P413"/>
  <c r="N413"/>
  <c r="L413"/>
  <c r="J413"/>
  <c r="H413"/>
  <c r="E413"/>
  <c r="I54"/>
  <c r="K54"/>
  <c r="M54"/>
  <c r="O54"/>
  <c r="Q54"/>
  <c r="S54"/>
  <c r="U54"/>
  <c r="W54"/>
  <c r="Y54"/>
  <c r="AA54"/>
  <c r="AC54"/>
  <c r="AE54"/>
  <c r="H55"/>
  <c r="J55"/>
  <c r="L55"/>
  <c r="N55"/>
  <c r="P55"/>
  <c r="R55"/>
  <c r="T55"/>
  <c r="V55"/>
  <c r="X55"/>
  <c r="Z55"/>
  <c r="AB55"/>
  <c r="AD55"/>
  <c r="I56"/>
  <c r="K56"/>
  <c r="M56"/>
  <c r="O56"/>
  <c r="Q56"/>
  <c r="S56"/>
  <c r="U56"/>
  <c r="W56"/>
  <c r="Y56"/>
  <c r="AA56"/>
  <c r="AC56"/>
  <c r="AE56"/>
  <c r="H57"/>
  <c r="J57"/>
  <c r="L57"/>
  <c r="N57"/>
  <c r="P57"/>
  <c r="R57"/>
  <c r="T57"/>
  <c r="V57"/>
  <c r="X57"/>
  <c r="Z57"/>
  <c r="AB57"/>
  <c r="AD57"/>
  <c r="I58"/>
  <c r="K58"/>
  <c r="M58"/>
  <c r="O58"/>
  <c r="Q58"/>
  <c r="S58"/>
  <c r="U58"/>
  <c r="W58"/>
  <c r="Y58"/>
  <c r="AA58"/>
  <c r="AC58"/>
  <c r="AE58"/>
  <c r="H59"/>
  <c r="J59"/>
  <c r="L59"/>
  <c r="N59"/>
  <c r="P59"/>
  <c r="R59"/>
  <c r="T59"/>
  <c r="V59"/>
  <c r="X59"/>
  <c r="Z59"/>
  <c r="AB59"/>
  <c r="AD59"/>
  <c r="I60"/>
  <c r="K60"/>
  <c r="M60"/>
  <c r="O60"/>
  <c r="Q60"/>
  <c r="S60"/>
  <c r="U60"/>
  <c r="W60"/>
  <c r="Y60"/>
  <c r="AA60"/>
  <c r="AC60"/>
  <c r="AE60"/>
  <c r="H61"/>
  <c r="J61"/>
  <c r="L61"/>
  <c r="N61"/>
  <c r="P61"/>
  <c r="R61"/>
  <c r="T61"/>
  <c r="V61"/>
  <c r="X61"/>
  <c r="Z61"/>
  <c r="AB61"/>
  <c r="AD61"/>
  <c r="I62"/>
  <c r="K62"/>
  <c r="M62"/>
  <c r="O62"/>
  <c r="Q62"/>
  <c r="S62"/>
  <c r="U62"/>
  <c r="W62"/>
  <c r="Y62"/>
  <c r="AA62"/>
  <c r="AC62"/>
  <c r="AE62"/>
  <c r="H63"/>
  <c r="J63"/>
  <c r="L63"/>
  <c r="N63"/>
  <c r="P63"/>
  <c r="R63"/>
  <c r="T63"/>
  <c r="V63"/>
  <c r="X63"/>
  <c r="Z63"/>
  <c r="AB63"/>
  <c r="AD63"/>
  <c r="I64"/>
  <c r="K64"/>
  <c r="M64"/>
  <c r="O64"/>
  <c r="Q64"/>
  <c r="S64"/>
  <c r="U64"/>
  <c r="W64"/>
  <c r="Y64"/>
  <c r="AA64"/>
  <c r="AC64"/>
  <c r="AE64"/>
  <c r="H65"/>
  <c r="J65"/>
  <c r="L65"/>
  <c r="N65"/>
  <c r="P65"/>
  <c r="R65"/>
  <c r="T65"/>
  <c r="V65"/>
  <c r="X65"/>
  <c r="Z65"/>
  <c r="AB65"/>
  <c r="AD65"/>
  <c r="I66"/>
  <c r="K66"/>
  <c r="M66"/>
  <c r="O66"/>
  <c r="Q66"/>
  <c r="S66"/>
  <c r="U66"/>
  <c r="W66"/>
  <c r="Y66"/>
  <c r="AA66"/>
  <c r="AC66"/>
  <c r="AE66"/>
  <c r="H67"/>
  <c r="J67"/>
  <c r="L67"/>
  <c r="N67"/>
  <c r="P67"/>
  <c r="R67"/>
  <c r="T67"/>
  <c r="V67"/>
  <c r="X67"/>
  <c r="Z67"/>
  <c r="AB67"/>
  <c r="AD67"/>
  <c r="I68"/>
  <c r="K68"/>
  <c r="M68"/>
  <c r="O68"/>
  <c r="Q68"/>
  <c r="S68"/>
  <c r="U68"/>
  <c r="W68"/>
  <c r="Y68"/>
  <c r="AA68"/>
  <c r="AC68"/>
  <c r="AE68"/>
  <c r="H69"/>
  <c r="J69"/>
  <c r="L69"/>
  <c r="N69"/>
  <c r="P69"/>
  <c r="R69"/>
  <c r="T69"/>
  <c r="V69"/>
  <c r="X69"/>
  <c r="Z69"/>
  <c r="AB69"/>
  <c r="AD69"/>
  <c r="I70"/>
  <c r="K70"/>
  <c r="M70"/>
  <c r="O70"/>
  <c r="Q70"/>
  <c r="S70"/>
  <c r="U70"/>
  <c r="W70"/>
  <c r="Y70"/>
  <c r="AA70"/>
  <c r="AC70"/>
  <c r="AE70"/>
  <c r="H71"/>
  <c r="J71"/>
  <c r="L71"/>
  <c r="N71"/>
  <c r="P71"/>
  <c r="R71"/>
  <c r="T71"/>
  <c r="V71"/>
  <c r="X71"/>
  <c r="Z71"/>
  <c r="AB71"/>
  <c r="AD71"/>
  <c r="C97"/>
  <c r="C99"/>
  <c r="C101"/>
  <c r="C103"/>
  <c r="C105"/>
  <c r="C107"/>
  <c r="C109"/>
  <c r="C111"/>
  <c r="C113"/>
  <c r="AE211"/>
  <c r="I185"/>
  <c r="K185"/>
  <c r="M185"/>
  <c r="O185"/>
  <c r="Q185"/>
  <c r="S185"/>
  <c r="U185"/>
  <c r="W185"/>
  <c r="Y185"/>
  <c r="AA185"/>
  <c r="AC185"/>
  <c r="AE185"/>
  <c r="E213"/>
  <c r="H213"/>
  <c r="L213"/>
  <c r="P213"/>
  <c r="T213"/>
  <c r="X213"/>
  <c r="AB213"/>
  <c r="H225"/>
  <c r="J225"/>
  <c r="L225"/>
  <c r="N225"/>
  <c r="P225"/>
  <c r="R225"/>
  <c r="T225"/>
  <c r="V225"/>
  <c r="X225"/>
  <c r="Z225"/>
  <c r="AB225"/>
  <c r="AD225"/>
  <c r="F235"/>
  <c r="K243"/>
  <c r="O243"/>
  <c r="S243"/>
  <c r="W243"/>
  <c r="AA243"/>
  <c r="AE243"/>
  <c r="F293"/>
  <c r="E299"/>
  <c r="H299"/>
  <c r="J299"/>
  <c r="L299"/>
  <c r="N299"/>
  <c r="P299"/>
  <c r="R299"/>
  <c r="T299"/>
  <c r="V299"/>
  <c r="X299"/>
  <c r="Z299"/>
  <c r="AB299"/>
  <c r="AD299"/>
  <c r="G339"/>
  <c r="I339"/>
  <c r="K339"/>
  <c r="M339"/>
  <c r="O339"/>
  <c r="Q339"/>
  <c r="S339"/>
  <c r="U339"/>
  <c r="W339"/>
  <c r="Y339"/>
  <c r="AA339"/>
  <c r="AC339"/>
  <c r="AE339"/>
  <c r="G1127"/>
  <c r="G1043"/>
  <c r="G855"/>
  <c r="G741"/>
  <c r="G587"/>
  <c r="G399"/>
  <c r="F1147"/>
  <c r="F1135"/>
  <c r="F1091"/>
  <c r="F1021"/>
  <c r="F977"/>
  <c r="F1033"/>
  <c r="F919"/>
  <c r="F907"/>
  <c r="F863"/>
  <c r="F805"/>
  <c r="F679"/>
  <c r="F635"/>
  <c r="F793"/>
  <c r="F749"/>
  <c r="F691"/>
  <c r="F565"/>
  <c r="F521"/>
  <c r="F463"/>
  <c r="F577"/>
  <c r="F451"/>
  <c r="F407"/>
  <c r="H54"/>
  <c r="J54"/>
  <c r="L54"/>
  <c r="N54"/>
  <c r="P54"/>
  <c r="R54"/>
  <c r="T54"/>
  <c r="V54"/>
  <c r="X54"/>
  <c r="Z54"/>
  <c r="AB54"/>
  <c r="AD54"/>
  <c r="I55"/>
  <c r="K55"/>
  <c r="M55"/>
  <c r="O55"/>
  <c r="Q55"/>
  <c r="S55"/>
  <c r="U55"/>
  <c r="W55"/>
  <c r="Y55"/>
  <c r="AA55"/>
  <c r="AC55"/>
  <c r="AE55"/>
  <c r="H56"/>
  <c r="J56"/>
  <c r="L56"/>
  <c r="N56"/>
  <c r="P56"/>
  <c r="R56"/>
  <c r="T56"/>
  <c r="V56"/>
  <c r="X56"/>
  <c r="Z56"/>
  <c r="AB56"/>
  <c r="AD56"/>
  <c r="I57"/>
  <c r="K57"/>
  <c r="M57"/>
  <c r="O57"/>
  <c r="Q57"/>
  <c r="S57"/>
  <c r="U57"/>
  <c r="W57"/>
  <c r="Y57"/>
  <c r="AA57"/>
  <c r="AC57"/>
  <c r="AE57"/>
  <c r="H58"/>
  <c r="J58"/>
  <c r="L58"/>
  <c r="N58"/>
  <c r="P58"/>
  <c r="R58"/>
  <c r="T58"/>
  <c r="V58"/>
  <c r="X58"/>
  <c r="Z58"/>
  <c r="AB58"/>
  <c r="AD58"/>
  <c r="I59"/>
  <c r="K59"/>
  <c r="M59"/>
  <c r="O59"/>
  <c r="Q59"/>
  <c r="S59"/>
  <c r="U59"/>
  <c r="W59"/>
  <c r="Y59"/>
  <c r="AA59"/>
  <c r="AC59"/>
  <c r="AE59"/>
  <c r="H60"/>
  <c r="J60"/>
  <c r="L60"/>
  <c r="N60"/>
  <c r="P60"/>
  <c r="R60"/>
  <c r="T60"/>
  <c r="V60"/>
  <c r="X60"/>
  <c r="Z60"/>
  <c r="AB60"/>
  <c r="AD60"/>
  <c r="I61"/>
  <c r="K61"/>
  <c r="M61"/>
  <c r="O61"/>
  <c r="Q61"/>
  <c r="S61"/>
  <c r="U61"/>
  <c r="W61"/>
  <c r="Y61"/>
  <c r="AA61"/>
  <c r="AC61"/>
  <c r="AE61"/>
  <c r="H62"/>
  <c r="J62"/>
  <c r="L62"/>
  <c r="N62"/>
  <c r="P62"/>
  <c r="R62"/>
  <c r="T62"/>
  <c r="V62"/>
  <c r="X62"/>
  <c r="Z62"/>
  <c r="AB62"/>
  <c r="AD62"/>
  <c r="I63"/>
  <c r="K63"/>
  <c r="M63"/>
  <c r="O63"/>
  <c r="Q63"/>
  <c r="S63"/>
  <c r="U63"/>
  <c r="W63"/>
  <c r="Y63"/>
  <c r="AA63"/>
  <c r="AC63"/>
  <c r="AE63"/>
  <c r="H64"/>
  <c r="J64"/>
  <c r="L64"/>
  <c r="N64"/>
  <c r="P64"/>
  <c r="R64"/>
  <c r="T64"/>
  <c r="V64"/>
  <c r="X64"/>
  <c r="Z64"/>
  <c r="AB64"/>
  <c r="AD64"/>
  <c r="I65"/>
  <c r="K65"/>
  <c r="M65"/>
  <c r="O65"/>
  <c r="Q65"/>
  <c r="S65"/>
  <c r="U65"/>
  <c r="W65"/>
  <c r="Y65"/>
  <c r="AA65"/>
  <c r="AC65"/>
  <c r="AE65"/>
  <c r="H66"/>
  <c r="J66"/>
  <c r="L66"/>
  <c r="N66"/>
  <c r="P66"/>
  <c r="R66"/>
  <c r="T66"/>
  <c r="V66"/>
  <c r="X66"/>
  <c r="Z66"/>
  <c r="AB66"/>
  <c r="AD66"/>
  <c r="I67"/>
  <c r="K67"/>
  <c r="M67"/>
  <c r="O67"/>
  <c r="Q67"/>
  <c r="S67"/>
  <c r="U67"/>
  <c r="W67"/>
  <c r="Y67"/>
  <c r="AA67"/>
  <c r="AC67"/>
  <c r="AE67"/>
  <c r="H68"/>
  <c r="J68"/>
  <c r="L68"/>
  <c r="N68"/>
  <c r="P68"/>
  <c r="R68"/>
  <c r="T68"/>
  <c r="V68"/>
  <c r="X68"/>
  <c r="Z68"/>
  <c r="AB68"/>
  <c r="AD68"/>
  <c r="I69"/>
  <c r="K69"/>
  <c r="M69"/>
  <c r="O69"/>
  <c r="Q69"/>
  <c r="S69"/>
  <c r="U69"/>
  <c r="W69"/>
  <c r="Y69"/>
  <c r="AA69"/>
  <c r="AC69"/>
  <c r="AE69"/>
  <c r="H70"/>
  <c r="J70"/>
  <c r="L70"/>
  <c r="N70"/>
  <c r="P70"/>
  <c r="R70"/>
  <c r="T70"/>
  <c r="V70"/>
  <c r="X70"/>
  <c r="Z70"/>
  <c r="AB70"/>
  <c r="AD70"/>
  <c r="I71"/>
  <c r="K71"/>
  <c r="M71"/>
  <c r="O71"/>
  <c r="Q71"/>
  <c r="S71"/>
  <c r="U71"/>
  <c r="W71"/>
  <c r="Y71"/>
  <c r="AA71"/>
  <c r="AC71"/>
  <c r="C98"/>
  <c r="C100"/>
  <c r="C102"/>
  <c r="C104"/>
  <c r="C106"/>
  <c r="C108"/>
  <c r="C110"/>
  <c r="C112"/>
  <c r="F177"/>
  <c r="E185"/>
  <c r="H185"/>
  <c r="J185"/>
  <c r="L185"/>
  <c r="N185"/>
  <c r="P185"/>
  <c r="R185"/>
  <c r="T185"/>
  <c r="V185"/>
  <c r="X185"/>
  <c r="Z185"/>
  <c r="AB185"/>
  <c r="AD185"/>
  <c r="K213"/>
  <c r="O213"/>
  <c r="S213"/>
  <c r="W213"/>
  <c r="AA213"/>
  <c r="AE213"/>
  <c r="F223"/>
  <c r="G225"/>
  <c r="I225"/>
  <c r="K225"/>
  <c r="M225"/>
  <c r="O225"/>
  <c r="Q225"/>
  <c r="S225"/>
  <c r="U225"/>
  <c r="W225"/>
  <c r="Y225"/>
  <c r="AA225"/>
  <c r="AC225"/>
  <c r="AE225"/>
  <c r="J243"/>
  <c r="N243"/>
  <c r="R243"/>
  <c r="V243"/>
  <c r="Z243"/>
  <c r="AD243"/>
  <c r="I299"/>
  <c r="K299"/>
  <c r="M299"/>
  <c r="O299"/>
  <c r="Q299"/>
  <c r="S299"/>
  <c r="U299"/>
  <c r="W299"/>
  <c r="Y299"/>
  <c r="AA299"/>
  <c r="AC299"/>
  <c r="AE299"/>
  <c r="E327"/>
  <c r="H327"/>
  <c r="J327"/>
  <c r="L327"/>
  <c r="N327"/>
  <c r="P327"/>
  <c r="R327"/>
  <c r="T327"/>
  <c r="V327"/>
  <c r="X327"/>
  <c r="Z327"/>
  <c r="AB327"/>
  <c r="AD327"/>
  <c r="H339"/>
  <c r="J339"/>
  <c r="L339"/>
  <c r="N339"/>
  <c r="P339"/>
  <c r="R339"/>
  <c r="T339"/>
  <c r="V339"/>
  <c r="X339"/>
  <c r="Z339"/>
  <c r="AB339"/>
  <c r="AD339"/>
  <c r="F349"/>
  <c r="G357"/>
  <c r="I357"/>
  <c r="K357"/>
  <c r="M357"/>
  <c r="O357"/>
  <c r="Q357"/>
  <c r="S357"/>
  <c r="U357"/>
  <c r="W357"/>
  <c r="Y357"/>
  <c r="AA357"/>
  <c r="AC357"/>
  <c r="AE357"/>
  <c r="I141" i="2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H141"/>
  <c r="P42" i="3"/>
  <c r="Q42"/>
  <c r="R42"/>
  <c r="S42"/>
  <c r="T42"/>
  <c r="U42"/>
  <c r="V42"/>
  <c r="W42"/>
  <c r="X42"/>
  <c r="Y42"/>
  <c r="Z42"/>
  <c r="AA42"/>
  <c r="P43"/>
  <c r="Q43"/>
  <c r="R43"/>
  <c r="S43"/>
  <c r="T43"/>
  <c r="U43"/>
  <c r="V43"/>
  <c r="W43"/>
  <c r="X43"/>
  <c r="Y43"/>
  <c r="Z43"/>
  <c r="AA43"/>
  <c r="P45"/>
  <c r="Q45"/>
  <c r="R45"/>
  <c r="S45"/>
  <c r="T45"/>
  <c r="U45"/>
  <c r="V45"/>
  <c r="W45"/>
  <c r="X45"/>
  <c r="Y45"/>
  <c r="Z45"/>
  <c r="AA45"/>
  <c r="P46"/>
  <c r="Q46"/>
  <c r="R46"/>
  <c r="S46"/>
  <c r="T46"/>
  <c r="U46"/>
  <c r="V46"/>
  <c r="W46"/>
  <c r="X46"/>
  <c r="Y46"/>
  <c r="Z46"/>
  <c r="AA46"/>
  <c r="P47"/>
  <c r="Q47"/>
  <c r="R47"/>
  <c r="S47"/>
  <c r="T47"/>
  <c r="U47"/>
  <c r="V47"/>
  <c r="W47"/>
  <c r="X47"/>
  <c r="Y47"/>
  <c r="Z47"/>
  <c r="AA47"/>
  <c r="P48"/>
  <c r="Q48"/>
  <c r="R48"/>
  <c r="S48"/>
  <c r="T48"/>
  <c r="U48"/>
  <c r="V48"/>
  <c r="W48"/>
  <c r="X48"/>
  <c r="Y48"/>
  <c r="Z48"/>
  <c r="AA48"/>
  <c r="P50"/>
  <c r="Q50"/>
  <c r="R50"/>
  <c r="S50"/>
  <c r="T50"/>
  <c r="U50"/>
  <c r="V50"/>
  <c r="W50"/>
  <c r="X50"/>
  <c r="Y50"/>
  <c r="Z50"/>
  <c r="AA50"/>
  <c r="P51"/>
  <c r="Q51"/>
  <c r="R51"/>
  <c r="S51"/>
  <c r="T51"/>
  <c r="U51"/>
  <c r="V51"/>
  <c r="W51"/>
  <c r="X51"/>
  <c r="Y51"/>
  <c r="Z51"/>
  <c r="AA51"/>
  <c r="P52"/>
  <c r="Q52"/>
  <c r="R52"/>
  <c r="S52"/>
  <c r="T52"/>
  <c r="U52"/>
  <c r="V52"/>
  <c r="W52"/>
  <c r="X52"/>
  <c r="Y52"/>
  <c r="Z52"/>
  <c r="AA52"/>
  <c r="P53"/>
  <c r="Q53"/>
  <c r="R53"/>
  <c r="S53"/>
  <c r="T53"/>
  <c r="U53"/>
  <c r="V53"/>
  <c r="W53"/>
  <c r="X53"/>
  <c r="Y53"/>
  <c r="Z53"/>
  <c r="AA53"/>
  <c r="P30"/>
  <c r="Q30"/>
  <c r="R30"/>
  <c r="S30"/>
  <c r="T30"/>
  <c r="U30"/>
  <c r="V30"/>
  <c r="W30"/>
  <c r="X30"/>
  <c r="Y30"/>
  <c r="Z30"/>
  <c r="AA30"/>
  <c r="P31"/>
  <c r="Q31"/>
  <c r="R31"/>
  <c r="S31"/>
  <c r="T31"/>
  <c r="U31"/>
  <c r="V31"/>
  <c r="W31"/>
  <c r="X31"/>
  <c r="Y31"/>
  <c r="Z31"/>
  <c r="AA31"/>
  <c r="P32"/>
  <c r="Q32"/>
  <c r="R32"/>
  <c r="S32"/>
  <c r="T32"/>
  <c r="U32"/>
  <c r="V32"/>
  <c r="W32"/>
  <c r="X32"/>
  <c r="Y32"/>
  <c r="Z32"/>
  <c r="AA32"/>
  <c r="P33"/>
  <c r="Q33"/>
  <c r="R33"/>
  <c r="S33"/>
  <c r="T33"/>
  <c r="U33"/>
  <c r="V33"/>
  <c r="W33"/>
  <c r="X33"/>
  <c r="Y33"/>
  <c r="Z33"/>
  <c r="AA33"/>
  <c r="P35"/>
  <c r="Q35"/>
  <c r="R35"/>
  <c r="S35"/>
  <c r="T35"/>
  <c r="U35"/>
  <c r="V35"/>
  <c r="W35"/>
  <c r="X35"/>
  <c r="Y35"/>
  <c r="Z35"/>
  <c r="AA35"/>
  <c r="P36"/>
  <c r="Q36"/>
  <c r="R36"/>
  <c r="S36"/>
  <c r="T36"/>
  <c r="U36"/>
  <c r="V36"/>
  <c r="W36"/>
  <c r="X36"/>
  <c r="Y36"/>
  <c r="Z36"/>
  <c r="AA36"/>
  <c r="P37"/>
  <c r="Q37"/>
  <c r="R37"/>
  <c r="S37"/>
  <c r="T37"/>
  <c r="U37"/>
  <c r="V37"/>
  <c r="W37"/>
  <c r="X37"/>
  <c r="Y37"/>
  <c r="Z37"/>
  <c r="AA37"/>
  <c r="P38"/>
  <c r="Q38"/>
  <c r="R38"/>
  <c r="S38"/>
  <c r="T38"/>
  <c r="U38"/>
  <c r="V38"/>
  <c r="W38"/>
  <c r="X38"/>
  <c r="Y38"/>
  <c r="Z38"/>
  <c r="AA38"/>
  <c r="P40"/>
  <c r="Q40"/>
  <c r="R40"/>
  <c r="S40"/>
  <c r="T40"/>
  <c r="U40"/>
  <c r="V40"/>
  <c r="W40"/>
  <c r="X40"/>
  <c r="Y40"/>
  <c r="Z40"/>
  <c r="AA40"/>
  <c r="P41"/>
  <c r="Q41"/>
  <c r="R41"/>
  <c r="S41"/>
  <c r="T41"/>
  <c r="U41"/>
  <c r="V41"/>
  <c r="W41"/>
  <c r="X41"/>
  <c r="Y41"/>
  <c r="Z41"/>
  <c r="AA41"/>
  <c r="P22"/>
  <c r="Q22"/>
  <c r="R22"/>
  <c r="S22"/>
  <c r="T22"/>
  <c r="U22"/>
  <c r="V22"/>
  <c r="W22"/>
  <c r="X22"/>
  <c r="Y22"/>
  <c r="Z22"/>
  <c r="AA22"/>
  <c r="P23"/>
  <c r="Q23"/>
  <c r="R23"/>
  <c r="S23"/>
  <c r="T23"/>
  <c r="U23"/>
  <c r="V23"/>
  <c r="W23"/>
  <c r="X23"/>
  <c r="Y23"/>
  <c r="Z23"/>
  <c r="AA23"/>
  <c r="P25"/>
  <c r="Q25"/>
  <c r="R25"/>
  <c r="S25"/>
  <c r="T25"/>
  <c r="U25"/>
  <c r="V25"/>
  <c r="W25"/>
  <c r="X25"/>
  <c r="Y25"/>
  <c r="Z25"/>
  <c r="AA25"/>
  <c r="P26"/>
  <c r="Q26"/>
  <c r="R26"/>
  <c r="S26"/>
  <c r="T26"/>
  <c r="U26"/>
  <c r="V26"/>
  <c r="W26"/>
  <c r="X26"/>
  <c r="Y26"/>
  <c r="Z26"/>
  <c r="AA26"/>
  <c r="P27"/>
  <c r="Q27"/>
  <c r="R27"/>
  <c r="S27"/>
  <c r="T27"/>
  <c r="U27"/>
  <c r="V27"/>
  <c r="W27"/>
  <c r="X27"/>
  <c r="Y27"/>
  <c r="Z27"/>
  <c r="AA27"/>
  <c r="P28"/>
  <c r="Q28"/>
  <c r="R28"/>
  <c r="S28"/>
  <c r="T28"/>
  <c r="U28"/>
  <c r="V28"/>
  <c r="W28"/>
  <c r="X28"/>
  <c r="Y28"/>
  <c r="Z28"/>
  <c r="AA28"/>
  <c r="P12"/>
  <c r="Q12"/>
  <c r="R12"/>
  <c r="S12"/>
  <c r="T12"/>
  <c r="U12"/>
  <c r="V12"/>
  <c r="W12"/>
  <c r="X12"/>
  <c r="Y12"/>
  <c r="Z12"/>
  <c r="AA12"/>
  <c r="P13"/>
  <c r="Q13"/>
  <c r="R13"/>
  <c r="S13"/>
  <c r="T13"/>
  <c r="U13"/>
  <c r="V13"/>
  <c r="W13"/>
  <c r="X13"/>
  <c r="Y13"/>
  <c r="Z13"/>
  <c r="AA13"/>
  <c r="P15"/>
  <c r="Q15"/>
  <c r="R15"/>
  <c r="S15"/>
  <c r="T15"/>
  <c r="U15"/>
  <c r="V15"/>
  <c r="W15"/>
  <c r="X15"/>
  <c r="Y15"/>
  <c r="Z15"/>
  <c r="AA15"/>
  <c r="P16"/>
  <c r="Q16"/>
  <c r="R16"/>
  <c r="S16"/>
  <c r="T16"/>
  <c r="U16"/>
  <c r="V16"/>
  <c r="W16"/>
  <c r="X16"/>
  <c r="Y16"/>
  <c r="Z16"/>
  <c r="AA16"/>
  <c r="P17"/>
  <c r="Q17"/>
  <c r="R17"/>
  <c r="S17"/>
  <c r="T17"/>
  <c r="U17"/>
  <c r="V17"/>
  <c r="W17"/>
  <c r="X17"/>
  <c r="Y17"/>
  <c r="Z17"/>
  <c r="AA17"/>
  <c r="P18"/>
  <c r="Q18"/>
  <c r="R18"/>
  <c r="S18"/>
  <c r="T18"/>
  <c r="U18"/>
  <c r="V18"/>
  <c r="W18"/>
  <c r="X18"/>
  <c r="Y18"/>
  <c r="Z18"/>
  <c r="AA18"/>
  <c r="P20"/>
  <c r="Q20"/>
  <c r="R20"/>
  <c r="S20"/>
  <c r="T20"/>
  <c r="U20"/>
  <c r="V20"/>
  <c r="W20"/>
  <c r="X20"/>
  <c r="Y20"/>
  <c r="Z20"/>
  <c r="AA20"/>
  <c r="P21"/>
  <c r="Q21"/>
  <c r="R21"/>
  <c r="S21"/>
  <c r="T21"/>
  <c r="U21"/>
  <c r="V21"/>
  <c r="W21"/>
  <c r="X21"/>
  <c r="Y21"/>
  <c r="Z21"/>
  <c r="AA21"/>
  <c r="Q11"/>
  <c r="R11"/>
  <c r="S11"/>
  <c r="T11"/>
  <c r="U11"/>
  <c r="V11"/>
  <c r="W11"/>
  <c r="X11"/>
  <c r="Y11"/>
  <c r="Z11"/>
  <c r="AA11"/>
  <c r="P11"/>
  <c r="F16" i="2"/>
  <c r="F89"/>
  <c r="F11"/>
  <c r="F10"/>
  <c r="W107" i="3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Q93"/>
  <c r="Q92"/>
  <c r="Q91"/>
  <c r="N88"/>
  <c r="N93"/>
  <c r="K88"/>
  <c r="L88"/>
  <c r="L93"/>
  <c r="I88"/>
  <c r="I93"/>
  <c r="G88"/>
  <c r="G93"/>
  <c r="E88"/>
  <c r="D88"/>
  <c r="C88"/>
  <c r="O87"/>
  <c r="N87"/>
  <c r="N92"/>
  <c r="K87"/>
  <c r="K92"/>
  <c r="I87"/>
  <c r="I92"/>
  <c r="G87"/>
  <c r="G92"/>
  <c r="E87"/>
  <c r="E92"/>
  <c r="O86"/>
  <c r="N86"/>
  <c r="N91"/>
  <c r="K86"/>
  <c r="L86"/>
  <c r="L91"/>
  <c r="I86"/>
  <c r="I91"/>
  <c r="G86"/>
  <c r="G91"/>
  <c r="E86"/>
  <c r="D86"/>
  <c r="C86"/>
  <c r="O85"/>
  <c r="M85"/>
  <c r="L85"/>
  <c r="I98"/>
  <c r="I110"/>
  <c r="Q75"/>
  <c r="J85"/>
  <c r="H85"/>
  <c r="F85"/>
  <c r="P83"/>
  <c r="J83"/>
  <c r="H83"/>
  <c r="F83"/>
  <c r="F88"/>
  <c r="F93"/>
  <c r="D78"/>
  <c r="B78"/>
  <c r="H78"/>
  <c r="D77"/>
  <c r="B77"/>
  <c r="H77"/>
  <c r="D76"/>
  <c r="B76"/>
  <c r="H76"/>
  <c r="D75"/>
  <c r="B75"/>
  <c r="H75"/>
  <c r="D74"/>
  <c r="B74"/>
  <c r="H74"/>
  <c r="D73"/>
  <c r="B73"/>
  <c r="H73"/>
  <c r="D72"/>
  <c r="B72"/>
  <c r="H72"/>
  <c r="D71"/>
  <c r="B71"/>
  <c r="H71"/>
  <c r="D70"/>
  <c r="B70"/>
  <c r="H70"/>
  <c r="D69"/>
  <c r="B69"/>
  <c r="H69"/>
  <c r="D68"/>
  <c r="B68"/>
  <c r="H68"/>
  <c r="D67"/>
  <c r="B67"/>
  <c r="H67"/>
  <c r="D66"/>
  <c r="B66"/>
  <c r="H66"/>
  <c r="D65"/>
  <c r="B65"/>
  <c r="H65"/>
  <c r="D64"/>
  <c r="B64"/>
  <c r="H64"/>
  <c r="D63"/>
  <c r="B63"/>
  <c r="H63"/>
  <c r="D62"/>
  <c r="B62"/>
  <c r="H62"/>
  <c r="D61"/>
  <c r="B61"/>
  <c r="H61"/>
  <c r="N8"/>
  <c r="O8"/>
  <c r="N7"/>
  <c r="O7"/>
  <c r="N6"/>
  <c r="O6"/>
  <c r="O5"/>
  <c r="M5"/>
  <c r="L5"/>
  <c r="J5"/>
  <c r="H5"/>
  <c r="F5"/>
  <c r="P3"/>
  <c r="J3"/>
  <c r="H3"/>
  <c r="F3"/>
  <c r="L28" i="2"/>
  <c r="L28" i="4"/>
  <c r="P28" i="2"/>
  <c r="P28" i="4"/>
  <c r="T28" i="2"/>
  <c r="T28" i="4"/>
  <c r="X28" i="2"/>
  <c r="X28" i="4"/>
  <c r="AB28" i="2"/>
  <c r="AB28" i="4"/>
  <c r="K28"/>
  <c r="K28" i="2"/>
  <c r="O28" i="4"/>
  <c r="O28" i="2"/>
  <c r="S28" i="4"/>
  <c r="S28" i="2"/>
  <c r="W28" i="4"/>
  <c r="W28" i="2"/>
  <c r="AA28" i="4"/>
  <c r="AA28" i="2"/>
  <c r="AE28" i="4"/>
  <c r="AE1093"/>
  <c r="AE28" i="2"/>
  <c r="G701" i="4"/>
  <c r="G785"/>
  <c r="G899"/>
  <c r="G1083"/>
  <c r="N28" i="2"/>
  <c r="N28" i="4"/>
  <c r="R28" i="2"/>
  <c r="R28" i="4"/>
  <c r="V28" i="2"/>
  <c r="V28" i="4"/>
  <c r="Z28" i="2"/>
  <c r="Z28" i="4"/>
  <c r="AD28" i="2"/>
  <c r="AD28" i="4"/>
  <c r="I28"/>
  <c r="I28" i="2"/>
  <c r="M28" i="4"/>
  <c r="M28" i="2"/>
  <c r="Q28" i="4"/>
  <c r="Q28" i="2"/>
  <c r="U28" i="4"/>
  <c r="U28" i="2"/>
  <c r="Y28" i="4"/>
  <c r="Y28" i="2"/>
  <c r="AC28" i="4"/>
  <c r="AC28" i="2"/>
  <c r="G443" i="4"/>
  <c r="AB243"/>
  <c r="X243"/>
  <c r="T243"/>
  <c r="P243"/>
  <c r="L243"/>
  <c r="H243"/>
  <c r="AC213"/>
  <c r="Y213"/>
  <c r="U213"/>
  <c r="Q213"/>
  <c r="M213"/>
  <c r="I213"/>
  <c r="AC243"/>
  <c r="Y243"/>
  <c r="U243"/>
  <c r="Q243"/>
  <c r="M243"/>
  <c r="I243"/>
  <c r="AD213"/>
  <c r="Z213"/>
  <c r="V213"/>
  <c r="R213"/>
  <c r="N213"/>
  <c r="H1061" i="2"/>
  <c r="H947"/>
  <c r="H833"/>
  <c r="H719"/>
  <c r="H605"/>
  <c r="H491"/>
  <c r="H377"/>
  <c r="H263"/>
  <c r="G567" i="4"/>
  <c r="G755"/>
  <c r="G182"/>
  <c r="AA1143"/>
  <c r="AA1145"/>
  <c r="AA1135"/>
  <c r="AA1113"/>
  <c r="AA1141"/>
  <c r="AA1102"/>
  <c r="AA1091"/>
  <c r="AA1065"/>
  <c r="AA1067"/>
  <c r="AA1054"/>
  <c r="AA1108"/>
  <c r="AA1104"/>
  <c r="AA1106"/>
  <c r="AA1117"/>
  <c r="AA1118"/>
  <c r="AA1119"/>
  <c r="AA1093"/>
  <c r="AA1062"/>
  <c r="AA1053"/>
  <c r="W1143"/>
  <c r="W1145"/>
  <c r="W1135"/>
  <c r="W1113"/>
  <c r="W1141"/>
  <c r="W1102"/>
  <c r="W1091"/>
  <c r="W1065"/>
  <c r="W1067"/>
  <c r="W1054"/>
  <c r="W1108"/>
  <c r="W1104"/>
  <c r="W1106"/>
  <c r="W1117"/>
  <c r="W1118"/>
  <c r="W1119"/>
  <c r="W1093"/>
  <c r="W1062"/>
  <c r="W1053"/>
  <c r="S1143"/>
  <c r="S1145"/>
  <c r="S1135"/>
  <c r="S1113"/>
  <c r="S1141"/>
  <c r="S1102"/>
  <c r="S1091"/>
  <c r="S1065"/>
  <c r="S1067"/>
  <c r="S1054"/>
  <c r="S1108"/>
  <c r="S1104"/>
  <c r="S1106"/>
  <c r="S1117"/>
  <c r="S1118"/>
  <c r="S1119"/>
  <c r="S1093"/>
  <c r="S1062"/>
  <c r="S1053"/>
  <c r="O1143"/>
  <c r="O1145"/>
  <c r="O1135"/>
  <c r="O1113"/>
  <c r="O1141"/>
  <c r="O1102"/>
  <c r="O1091"/>
  <c r="O1065"/>
  <c r="O1067"/>
  <c r="O1054"/>
  <c r="O1108"/>
  <c r="O1104"/>
  <c r="O1106"/>
  <c r="O1117"/>
  <c r="O1118"/>
  <c r="O1119"/>
  <c r="O1093"/>
  <c r="O1062"/>
  <c r="O1053"/>
  <c r="K1143"/>
  <c r="K1145"/>
  <c r="K1135"/>
  <c r="K1113"/>
  <c r="K1141"/>
  <c r="K1102"/>
  <c r="K1091"/>
  <c r="K1065"/>
  <c r="K1067"/>
  <c r="K1054"/>
  <c r="K1108"/>
  <c r="K1104"/>
  <c r="K1106"/>
  <c r="K1117"/>
  <c r="K1118"/>
  <c r="K1119"/>
  <c r="K1093"/>
  <c r="K1062"/>
  <c r="K1053"/>
  <c r="AD1029"/>
  <c r="AD1031"/>
  <c r="AD1021"/>
  <c r="AD999"/>
  <c r="AD988"/>
  <c r="AD977"/>
  <c r="AD951"/>
  <c r="AD953"/>
  <c r="AD940"/>
  <c r="AD1027"/>
  <c r="AD994"/>
  <c r="AD990"/>
  <c r="AD992"/>
  <c r="AD1003"/>
  <c r="AD1004"/>
  <c r="AD1005"/>
  <c r="AD979"/>
  <c r="AD948"/>
  <c r="AD939"/>
  <c r="Z1029"/>
  <c r="Z1031"/>
  <c r="Z1021"/>
  <c r="Z999"/>
  <c r="Z988"/>
  <c r="Z977"/>
  <c r="Z951"/>
  <c r="Z953"/>
  <c r="Z940"/>
  <c r="Z1027"/>
  <c r="Z994"/>
  <c r="Z990"/>
  <c r="Z992"/>
  <c r="Z1003"/>
  <c r="Z1004"/>
  <c r="Z1005"/>
  <c r="Z979"/>
  <c r="Z948"/>
  <c r="Z939"/>
  <c r="V1029"/>
  <c r="V1031"/>
  <c r="V1021"/>
  <c r="V999"/>
  <c r="V988"/>
  <c r="V977"/>
  <c r="V951"/>
  <c r="V953"/>
  <c r="V940"/>
  <c r="V1027"/>
  <c r="V994"/>
  <c r="V990"/>
  <c r="V992"/>
  <c r="V1003"/>
  <c r="V1004"/>
  <c r="V1005"/>
  <c r="V979"/>
  <c r="V948"/>
  <c r="V939"/>
  <c r="R1029"/>
  <c r="R1031"/>
  <c r="R1021"/>
  <c r="R999"/>
  <c r="R988"/>
  <c r="R977"/>
  <c r="R951"/>
  <c r="R953"/>
  <c r="R940"/>
  <c r="R1027"/>
  <c r="R994"/>
  <c r="R990"/>
  <c r="R992"/>
  <c r="R1003"/>
  <c r="R1004"/>
  <c r="R1005"/>
  <c r="R979"/>
  <c r="R948"/>
  <c r="R939"/>
  <c r="N1029"/>
  <c r="N1031"/>
  <c r="N1021"/>
  <c r="N999"/>
  <c r="N988"/>
  <c r="N977"/>
  <c r="N951"/>
  <c r="N953"/>
  <c r="N1027"/>
  <c r="N994"/>
  <c r="N990"/>
  <c r="N992"/>
  <c r="N1003"/>
  <c r="N1004"/>
  <c r="N1005"/>
  <c r="N979"/>
  <c r="N948"/>
  <c r="N940"/>
  <c r="N939"/>
  <c r="J1029"/>
  <c r="J1031"/>
  <c r="J1021"/>
  <c r="J999"/>
  <c r="J988"/>
  <c r="J977"/>
  <c r="J951"/>
  <c r="J953"/>
  <c r="J1027"/>
  <c r="J994"/>
  <c r="J990"/>
  <c r="J992"/>
  <c r="J1003"/>
  <c r="J1004"/>
  <c r="J1005"/>
  <c r="J979"/>
  <c r="J948"/>
  <c r="J940"/>
  <c r="J939"/>
  <c r="AE915"/>
  <c r="AE917"/>
  <c r="AE907"/>
  <c r="AE885"/>
  <c r="AE874"/>
  <c r="AE863"/>
  <c r="AE913"/>
  <c r="AE880"/>
  <c r="AE876"/>
  <c r="AE878"/>
  <c r="AE889"/>
  <c r="AE890"/>
  <c r="AE891"/>
  <c r="AE865"/>
  <c r="AE834"/>
  <c r="AE837"/>
  <c r="AE839"/>
  <c r="AE825"/>
  <c r="AE826"/>
  <c r="AA915"/>
  <c r="AA917"/>
  <c r="AA907"/>
  <c r="AA885"/>
  <c r="AA874"/>
  <c r="AA863"/>
  <c r="AA913"/>
  <c r="AA880"/>
  <c r="AA876"/>
  <c r="AA878"/>
  <c r="AA889"/>
  <c r="AA890"/>
  <c r="AA891"/>
  <c r="AA865"/>
  <c r="AA834"/>
  <c r="AA837"/>
  <c r="AA839"/>
  <c r="AA825"/>
  <c r="AA826"/>
  <c r="W915"/>
  <c r="W917"/>
  <c r="W907"/>
  <c r="W885"/>
  <c r="W874"/>
  <c r="W863"/>
  <c r="W913"/>
  <c r="W880"/>
  <c r="W876"/>
  <c r="W878"/>
  <c r="W889"/>
  <c r="W890"/>
  <c r="W891"/>
  <c r="W865"/>
  <c r="W834"/>
  <c r="W837"/>
  <c r="W839"/>
  <c r="W825"/>
  <c r="W826"/>
  <c r="S915"/>
  <c r="S917"/>
  <c r="S907"/>
  <c r="S885"/>
  <c r="S874"/>
  <c r="S863"/>
  <c r="S913"/>
  <c r="S880"/>
  <c r="S876"/>
  <c r="S878"/>
  <c r="S889"/>
  <c r="S890"/>
  <c r="S891"/>
  <c r="S865"/>
  <c r="S834"/>
  <c r="S837"/>
  <c r="S839"/>
  <c r="S825"/>
  <c r="S826"/>
  <c r="O915"/>
  <c r="O917"/>
  <c r="O907"/>
  <c r="O885"/>
  <c r="O874"/>
  <c r="O863"/>
  <c r="O913"/>
  <c r="O880"/>
  <c r="O876"/>
  <c r="O878"/>
  <c r="O889"/>
  <c r="O890"/>
  <c r="O891"/>
  <c r="O865"/>
  <c r="O834"/>
  <c r="O837"/>
  <c r="O839"/>
  <c r="O825"/>
  <c r="O826"/>
  <c r="K915"/>
  <c r="K917"/>
  <c r="K907"/>
  <c r="K885"/>
  <c r="K874"/>
  <c r="K863"/>
  <c r="K913"/>
  <c r="K880"/>
  <c r="K876"/>
  <c r="K878"/>
  <c r="K889"/>
  <c r="K890"/>
  <c r="K891"/>
  <c r="K865"/>
  <c r="K834"/>
  <c r="K837"/>
  <c r="K839"/>
  <c r="K825"/>
  <c r="K826"/>
  <c r="AD799"/>
  <c r="AD766"/>
  <c r="AD762"/>
  <c r="AD764"/>
  <c r="AD775"/>
  <c r="AD776"/>
  <c r="AD777"/>
  <c r="AD751"/>
  <c r="AD720"/>
  <c r="AD711"/>
  <c r="AD801"/>
  <c r="AD803"/>
  <c r="AD793"/>
  <c r="AD771"/>
  <c r="AD760"/>
  <c r="AD749"/>
  <c r="AD723"/>
  <c r="AD725"/>
  <c r="AD712"/>
  <c r="Z799"/>
  <c r="Z766"/>
  <c r="Z762"/>
  <c r="Z764"/>
  <c r="Z775"/>
  <c r="Z776"/>
  <c r="Z777"/>
  <c r="Z751"/>
  <c r="Z720"/>
  <c r="Z711"/>
  <c r="Z801"/>
  <c r="Z803"/>
  <c r="Z793"/>
  <c r="Z771"/>
  <c r="Z760"/>
  <c r="Z749"/>
  <c r="Z723"/>
  <c r="Z725"/>
  <c r="Z712"/>
  <c r="V799"/>
  <c r="V766"/>
  <c r="V762"/>
  <c r="V764"/>
  <c r="V775"/>
  <c r="V776"/>
  <c r="V777"/>
  <c r="V751"/>
  <c r="V720"/>
  <c r="V711"/>
  <c r="V801"/>
  <c r="V803"/>
  <c r="V793"/>
  <c r="V771"/>
  <c r="V760"/>
  <c r="V749"/>
  <c r="V723"/>
  <c r="V725"/>
  <c r="V712"/>
  <c r="R799"/>
  <c r="R766"/>
  <c r="R762"/>
  <c r="R764"/>
  <c r="R775"/>
  <c r="R776"/>
  <c r="R777"/>
  <c r="R751"/>
  <c r="R720"/>
  <c r="R711"/>
  <c r="R801"/>
  <c r="R803"/>
  <c r="R793"/>
  <c r="R771"/>
  <c r="R760"/>
  <c r="R749"/>
  <c r="R723"/>
  <c r="R725"/>
  <c r="R712"/>
  <c r="N799"/>
  <c r="N766"/>
  <c r="N762"/>
  <c r="N764"/>
  <c r="N775"/>
  <c r="N776"/>
  <c r="N777"/>
  <c r="N751"/>
  <c r="N720"/>
  <c r="N711"/>
  <c r="N801"/>
  <c r="N803"/>
  <c r="N793"/>
  <c r="N771"/>
  <c r="N760"/>
  <c r="N749"/>
  <c r="N723"/>
  <c r="N725"/>
  <c r="N712"/>
  <c r="J799"/>
  <c r="J766"/>
  <c r="J762"/>
  <c r="J764"/>
  <c r="J775"/>
  <c r="J776"/>
  <c r="J777"/>
  <c r="J751"/>
  <c r="J720"/>
  <c r="J711"/>
  <c r="J801"/>
  <c r="J803"/>
  <c r="J793"/>
  <c r="J771"/>
  <c r="J760"/>
  <c r="J749"/>
  <c r="J723"/>
  <c r="J725"/>
  <c r="J712"/>
  <c r="AE685"/>
  <c r="AE652"/>
  <c r="AE648"/>
  <c r="AE650"/>
  <c r="AE661"/>
  <c r="AE662"/>
  <c r="AE663"/>
  <c r="AE637"/>
  <c r="AE687"/>
  <c r="AE689"/>
  <c r="AE679"/>
  <c r="AE657"/>
  <c r="AE646"/>
  <c r="AE635"/>
  <c r="AE609"/>
  <c r="AE611"/>
  <c r="AE598"/>
  <c r="AE606"/>
  <c r="AE597"/>
  <c r="AA685"/>
  <c r="AA652"/>
  <c r="AA648"/>
  <c r="AA650"/>
  <c r="AA661"/>
  <c r="AA662"/>
  <c r="AA663"/>
  <c r="AA637"/>
  <c r="AA687"/>
  <c r="AA689"/>
  <c r="AA679"/>
  <c r="AA657"/>
  <c r="AA646"/>
  <c r="AA635"/>
  <c r="AA609"/>
  <c r="AA611"/>
  <c r="AA598"/>
  <c r="AA606"/>
  <c r="AA597"/>
  <c r="W685"/>
  <c r="W652"/>
  <c r="W648"/>
  <c r="W650"/>
  <c r="W661"/>
  <c r="W662"/>
  <c r="W663"/>
  <c r="W637"/>
  <c r="W687"/>
  <c r="W689"/>
  <c r="W679"/>
  <c r="W657"/>
  <c r="W646"/>
  <c r="W635"/>
  <c r="W609"/>
  <c r="W611"/>
  <c r="W598"/>
  <c r="W606"/>
  <c r="W597"/>
  <c r="S685"/>
  <c r="S652"/>
  <c r="S648"/>
  <c r="S650"/>
  <c r="S661"/>
  <c r="S662"/>
  <c r="S663"/>
  <c r="S637"/>
  <c r="S687"/>
  <c r="S689"/>
  <c r="S679"/>
  <c r="S657"/>
  <c r="S646"/>
  <c r="S635"/>
  <c r="S609"/>
  <c r="S611"/>
  <c r="S598"/>
  <c r="S606"/>
  <c r="S597"/>
  <c r="O685"/>
  <c r="O652"/>
  <c r="O648"/>
  <c r="O650"/>
  <c r="O661"/>
  <c r="O662"/>
  <c r="O663"/>
  <c r="O637"/>
  <c r="O687"/>
  <c r="O689"/>
  <c r="O679"/>
  <c r="O657"/>
  <c r="O646"/>
  <c r="O635"/>
  <c r="O609"/>
  <c r="O611"/>
  <c r="O598"/>
  <c r="O606"/>
  <c r="O597"/>
  <c r="K685"/>
  <c r="K652"/>
  <c r="K648"/>
  <c r="K650"/>
  <c r="K661"/>
  <c r="K662"/>
  <c r="K663"/>
  <c r="K637"/>
  <c r="K687"/>
  <c r="K689"/>
  <c r="K679"/>
  <c r="K657"/>
  <c r="K646"/>
  <c r="K635"/>
  <c r="K609"/>
  <c r="K611"/>
  <c r="K598"/>
  <c r="K606"/>
  <c r="K597"/>
  <c r="AD573"/>
  <c r="AD575"/>
  <c r="AD565"/>
  <c r="AD543"/>
  <c r="AD532"/>
  <c r="AD521"/>
  <c r="AD495"/>
  <c r="AD497"/>
  <c r="AD484"/>
  <c r="AD571"/>
  <c r="AD538"/>
  <c r="AD534"/>
  <c r="AD536"/>
  <c r="AD547"/>
  <c r="AD548"/>
  <c r="AD549"/>
  <c r="AD523"/>
  <c r="AD492"/>
  <c r="AD483"/>
  <c r="Z573"/>
  <c r="Z575"/>
  <c r="Z565"/>
  <c r="Z543"/>
  <c r="Z532"/>
  <c r="Z521"/>
  <c r="Z495"/>
  <c r="Z497"/>
  <c r="Z484"/>
  <c r="Z571"/>
  <c r="Z538"/>
  <c r="Z534"/>
  <c r="Z536"/>
  <c r="Z547"/>
  <c r="Z548"/>
  <c r="Z549"/>
  <c r="Z523"/>
  <c r="Z492"/>
  <c r="Z483"/>
  <c r="V573"/>
  <c r="V575"/>
  <c r="V565"/>
  <c r="V543"/>
  <c r="V532"/>
  <c r="V521"/>
  <c r="V495"/>
  <c r="V497"/>
  <c r="V484"/>
  <c r="V571"/>
  <c r="V538"/>
  <c r="V534"/>
  <c r="V536"/>
  <c r="V547"/>
  <c r="V548"/>
  <c r="V549"/>
  <c r="V523"/>
  <c r="V492"/>
  <c r="V483"/>
  <c r="R573"/>
  <c r="R575"/>
  <c r="R565"/>
  <c r="R543"/>
  <c r="R532"/>
  <c r="R521"/>
  <c r="R495"/>
  <c r="R497"/>
  <c r="R484"/>
  <c r="R571"/>
  <c r="R538"/>
  <c r="R534"/>
  <c r="R536"/>
  <c r="R547"/>
  <c r="R548"/>
  <c r="R549"/>
  <c r="R523"/>
  <c r="R492"/>
  <c r="R483"/>
  <c r="N573"/>
  <c r="N575"/>
  <c r="N565"/>
  <c r="N543"/>
  <c r="N532"/>
  <c r="N521"/>
  <c r="N495"/>
  <c r="N497"/>
  <c r="N484"/>
  <c r="N571"/>
  <c r="N538"/>
  <c r="N534"/>
  <c r="N536"/>
  <c r="N547"/>
  <c r="N548"/>
  <c r="N549"/>
  <c r="N523"/>
  <c r="N492"/>
  <c r="N483"/>
  <c r="J573"/>
  <c r="J575"/>
  <c r="J565"/>
  <c r="J543"/>
  <c r="J532"/>
  <c r="J521"/>
  <c r="J495"/>
  <c r="J497"/>
  <c r="J484"/>
  <c r="J571"/>
  <c r="J538"/>
  <c r="J534"/>
  <c r="J536"/>
  <c r="J547"/>
  <c r="J548"/>
  <c r="J549"/>
  <c r="J523"/>
  <c r="J492"/>
  <c r="J483"/>
  <c r="AE459"/>
  <c r="AE461"/>
  <c r="AE451"/>
  <c r="AE429"/>
  <c r="AE418"/>
  <c r="AE407"/>
  <c r="AE457"/>
  <c r="AE424"/>
  <c r="AE420"/>
  <c r="AE422"/>
  <c r="AE433"/>
  <c r="AE434"/>
  <c r="AE435"/>
  <c r="AE409"/>
  <c r="AE378"/>
  <c r="AE369"/>
  <c r="AE381"/>
  <c r="AE383"/>
  <c r="AE370"/>
  <c r="AA459"/>
  <c r="AA461"/>
  <c r="AA451"/>
  <c r="AA429"/>
  <c r="AA418"/>
  <c r="AA407"/>
  <c r="AA457"/>
  <c r="AA424"/>
  <c r="AA420"/>
  <c r="AA422"/>
  <c r="AA433"/>
  <c r="AA434"/>
  <c r="AA435"/>
  <c r="AA409"/>
  <c r="AA378"/>
  <c r="AA369"/>
  <c r="AA381"/>
  <c r="AA383"/>
  <c r="AA370"/>
  <c r="W459"/>
  <c r="W461"/>
  <c r="W451"/>
  <c r="W429"/>
  <c r="W418"/>
  <c r="W407"/>
  <c r="W457"/>
  <c r="W424"/>
  <c r="W420"/>
  <c r="W422"/>
  <c r="W433"/>
  <c r="W434"/>
  <c r="W435"/>
  <c r="W409"/>
  <c r="W378"/>
  <c r="W369"/>
  <c r="W381"/>
  <c r="W383"/>
  <c r="W370"/>
  <c r="S459"/>
  <c r="S461"/>
  <c r="S451"/>
  <c r="S429"/>
  <c r="S418"/>
  <c r="S407"/>
  <c r="S457"/>
  <c r="S424"/>
  <c r="S420"/>
  <c r="S422"/>
  <c r="S433"/>
  <c r="S434"/>
  <c r="S435"/>
  <c r="S409"/>
  <c r="S378"/>
  <c r="S369"/>
  <c r="S381"/>
  <c r="S383"/>
  <c r="S370"/>
  <c r="O459"/>
  <c r="O461"/>
  <c r="O451"/>
  <c r="O429"/>
  <c r="O418"/>
  <c r="O407"/>
  <c r="O457"/>
  <c r="O424"/>
  <c r="O420"/>
  <c r="O422"/>
  <c r="O433"/>
  <c r="O434"/>
  <c r="O435"/>
  <c r="O409"/>
  <c r="O378"/>
  <c r="O369"/>
  <c r="O381"/>
  <c r="O383"/>
  <c r="O370"/>
  <c r="K459"/>
  <c r="K461"/>
  <c r="K451"/>
  <c r="K429"/>
  <c r="K418"/>
  <c r="K407"/>
  <c r="K457"/>
  <c r="K424"/>
  <c r="K420"/>
  <c r="K422"/>
  <c r="K433"/>
  <c r="K434"/>
  <c r="K435"/>
  <c r="K409"/>
  <c r="K378"/>
  <c r="K369"/>
  <c r="K381"/>
  <c r="K383"/>
  <c r="K370"/>
  <c r="AD343"/>
  <c r="AD310"/>
  <c r="AD306"/>
  <c r="AD308"/>
  <c r="AD319"/>
  <c r="AD320"/>
  <c r="AD321"/>
  <c r="AD295"/>
  <c r="AD264"/>
  <c r="AD255"/>
  <c r="AD345"/>
  <c r="AD347"/>
  <c r="AD337"/>
  <c r="AD315"/>
  <c r="AD304"/>
  <c r="AD293"/>
  <c r="AD267"/>
  <c r="AD269"/>
  <c r="AD256"/>
  <c r="Z343"/>
  <c r="Z310"/>
  <c r="Z306"/>
  <c r="Z308"/>
  <c r="Z319"/>
  <c r="Z320"/>
  <c r="Z321"/>
  <c r="Z295"/>
  <c r="Z264"/>
  <c r="Z255"/>
  <c r="Z345"/>
  <c r="Z347"/>
  <c r="Z337"/>
  <c r="Z315"/>
  <c r="Z304"/>
  <c r="Z293"/>
  <c r="Z267"/>
  <c r="Z269"/>
  <c r="Z256"/>
  <c r="V343"/>
  <c r="V310"/>
  <c r="V306"/>
  <c r="V308"/>
  <c r="V319"/>
  <c r="V320"/>
  <c r="V321"/>
  <c r="V295"/>
  <c r="V264"/>
  <c r="V255"/>
  <c r="V345"/>
  <c r="V347"/>
  <c r="V337"/>
  <c r="V315"/>
  <c r="V304"/>
  <c r="V293"/>
  <c r="V267"/>
  <c r="V269"/>
  <c r="V256"/>
  <c r="R343"/>
  <c r="R310"/>
  <c r="R306"/>
  <c r="R308"/>
  <c r="R319"/>
  <c r="R320"/>
  <c r="R321"/>
  <c r="R295"/>
  <c r="R264"/>
  <c r="R255"/>
  <c r="R345"/>
  <c r="R347"/>
  <c r="R337"/>
  <c r="R315"/>
  <c r="R304"/>
  <c r="R293"/>
  <c r="R267"/>
  <c r="R269"/>
  <c r="R256"/>
  <c r="N343"/>
  <c r="N310"/>
  <c r="N306"/>
  <c r="N308"/>
  <c r="N319"/>
  <c r="N320"/>
  <c r="N321"/>
  <c r="N295"/>
  <c r="N264"/>
  <c r="N255"/>
  <c r="N345"/>
  <c r="N347"/>
  <c r="N337"/>
  <c r="N315"/>
  <c r="N304"/>
  <c r="N293"/>
  <c r="N267"/>
  <c r="N269"/>
  <c r="N256"/>
  <c r="J343"/>
  <c r="J310"/>
  <c r="J306"/>
  <c r="J308"/>
  <c r="J319"/>
  <c r="J320"/>
  <c r="J321"/>
  <c r="J295"/>
  <c r="J264"/>
  <c r="J255"/>
  <c r="J345"/>
  <c r="J347"/>
  <c r="J337"/>
  <c r="J315"/>
  <c r="J304"/>
  <c r="J293"/>
  <c r="J267"/>
  <c r="J269"/>
  <c r="J256"/>
  <c r="AE229"/>
  <c r="AE196"/>
  <c r="AE192"/>
  <c r="AE194"/>
  <c r="AE205"/>
  <c r="AE206"/>
  <c r="AE207"/>
  <c r="AE179"/>
  <c r="AE143"/>
  <c r="AE127"/>
  <c r="AE231"/>
  <c r="AE233"/>
  <c r="AE223"/>
  <c r="AE201"/>
  <c r="AE190"/>
  <c r="AE177"/>
  <c r="AE146"/>
  <c r="AE148"/>
  <c r="AE129"/>
  <c r="AA229"/>
  <c r="AA196"/>
  <c r="AA192"/>
  <c r="AA194"/>
  <c r="AA205"/>
  <c r="AA206"/>
  <c r="AA207"/>
  <c r="AA179"/>
  <c r="AA143"/>
  <c r="AA127"/>
  <c r="AA231"/>
  <c r="AA233"/>
  <c r="AA223"/>
  <c r="AA201"/>
  <c r="AA190"/>
  <c r="AA177"/>
  <c r="AA146"/>
  <c r="AA148"/>
  <c r="AA129"/>
  <c r="W229"/>
  <c r="W196"/>
  <c r="W192"/>
  <c r="W194"/>
  <c r="W205"/>
  <c r="W206"/>
  <c r="W207"/>
  <c r="W179"/>
  <c r="W143"/>
  <c r="W127"/>
  <c r="W231"/>
  <c r="W233"/>
  <c r="W223"/>
  <c r="W201"/>
  <c r="W190"/>
  <c r="W177"/>
  <c r="W146"/>
  <c r="W148"/>
  <c r="W129"/>
  <c r="S229"/>
  <c r="S196"/>
  <c r="S192"/>
  <c r="S194"/>
  <c r="S205"/>
  <c r="S206"/>
  <c r="S207"/>
  <c r="S179"/>
  <c r="S143"/>
  <c r="S127"/>
  <c r="S231"/>
  <c r="S233"/>
  <c r="S223"/>
  <c r="S201"/>
  <c r="S190"/>
  <c r="S177"/>
  <c r="S146"/>
  <c r="S148"/>
  <c r="S129"/>
  <c r="O229"/>
  <c r="O196"/>
  <c r="O192"/>
  <c r="O194"/>
  <c r="O205"/>
  <c r="O206"/>
  <c r="O207"/>
  <c r="O179"/>
  <c r="O143"/>
  <c r="O127"/>
  <c r="O231"/>
  <c r="O233"/>
  <c r="O223"/>
  <c r="O201"/>
  <c r="O190"/>
  <c r="O177"/>
  <c r="O146"/>
  <c r="O148"/>
  <c r="O129"/>
  <c r="K229"/>
  <c r="K196"/>
  <c r="K192"/>
  <c r="K194"/>
  <c r="K205"/>
  <c r="K206"/>
  <c r="K207"/>
  <c r="K179"/>
  <c r="K143"/>
  <c r="K127"/>
  <c r="K231"/>
  <c r="K233"/>
  <c r="K223"/>
  <c r="K201"/>
  <c r="K190"/>
  <c r="K177"/>
  <c r="K146"/>
  <c r="K148"/>
  <c r="K129"/>
  <c r="AB1141"/>
  <c r="AB1143"/>
  <c r="AB1145"/>
  <c r="AB1135"/>
  <c r="AB1113"/>
  <c r="AB1108"/>
  <c r="AB1104"/>
  <c r="AB1106"/>
  <c r="AB1117"/>
  <c r="AB1118"/>
  <c r="AB1119"/>
  <c r="AB1093"/>
  <c r="AB1062"/>
  <c r="AB1053"/>
  <c r="AB1102"/>
  <c r="AB1091"/>
  <c r="AB1065"/>
  <c r="AB1067"/>
  <c r="AB1054"/>
  <c r="X1141"/>
  <c r="X1143"/>
  <c r="X1145"/>
  <c r="X1135"/>
  <c r="X1113"/>
  <c r="X1108"/>
  <c r="X1104"/>
  <c r="X1106"/>
  <c r="X1117"/>
  <c r="X1118"/>
  <c r="X1119"/>
  <c r="X1093"/>
  <c r="X1062"/>
  <c r="X1102"/>
  <c r="X1091"/>
  <c r="X1065"/>
  <c r="X1067"/>
  <c r="X1054"/>
  <c r="X1053"/>
  <c r="T1141"/>
  <c r="T1143"/>
  <c r="T1145"/>
  <c r="T1135"/>
  <c r="T1113"/>
  <c r="T1108"/>
  <c r="T1104"/>
  <c r="T1106"/>
  <c r="T1117"/>
  <c r="T1118"/>
  <c r="T1119"/>
  <c r="T1093"/>
  <c r="T1062"/>
  <c r="T1102"/>
  <c r="T1091"/>
  <c r="T1065"/>
  <c r="T1067"/>
  <c r="T1054"/>
  <c r="T1053"/>
  <c r="P1141"/>
  <c r="P1143"/>
  <c r="P1145"/>
  <c r="P1135"/>
  <c r="P1113"/>
  <c r="P1108"/>
  <c r="P1104"/>
  <c r="P1106"/>
  <c r="P1117"/>
  <c r="P1118"/>
  <c r="P1119"/>
  <c r="P1093"/>
  <c r="P1062"/>
  <c r="P1102"/>
  <c r="P1091"/>
  <c r="P1065"/>
  <c r="P1067"/>
  <c r="P1054"/>
  <c r="P1053"/>
  <c r="L1141"/>
  <c r="L1143"/>
  <c r="L1145"/>
  <c r="L1135"/>
  <c r="L1113"/>
  <c r="L1108"/>
  <c r="L1104"/>
  <c r="L1106"/>
  <c r="L1117"/>
  <c r="L1118"/>
  <c r="L1119"/>
  <c r="L1093"/>
  <c r="L1062"/>
  <c r="L1102"/>
  <c r="L1091"/>
  <c r="L1065"/>
  <c r="L1067"/>
  <c r="L1054"/>
  <c r="L1053"/>
  <c r="H1141"/>
  <c r="H1143"/>
  <c r="H1135"/>
  <c r="H1108"/>
  <c r="H1104"/>
  <c r="H1062"/>
  <c r="H1102"/>
  <c r="H1091"/>
  <c r="H1065"/>
  <c r="H1054"/>
  <c r="H1053"/>
  <c r="G71"/>
  <c r="AC1027"/>
  <c r="AC994"/>
  <c r="AC990"/>
  <c r="AC992"/>
  <c r="AC1003"/>
  <c r="AC1004"/>
  <c r="AC1005"/>
  <c r="AC979"/>
  <c r="AC948"/>
  <c r="AC1029"/>
  <c r="AC1031"/>
  <c r="AC1021"/>
  <c r="AC999"/>
  <c r="AC988"/>
  <c r="AC977"/>
  <c r="AC951"/>
  <c r="AC953"/>
  <c r="AC939"/>
  <c r="AC940"/>
  <c r="Y1027"/>
  <c r="Y994"/>
  <c r="Y990"/>
  <c r="Y992"/>
  <c r="Y1003"/>
  <c r="Y1004"/>
  <c r="Y1005"/>
  <c r="Y979"/>
  <c r="Y948"/>
  <c r="Y1029"/>
  <c r="Y1031"/>
  <c r="Y1021"/>
  <c r="Y999"/>
  <c r="Y988"/>
  <c r="Y977"/>
  <c r="Y951"/>
  <c r="Y953"/>
  <c r="Y939"/>
  <c r="Y940"/>
  <c r="U1027"/>
  <c r="U994"/>
  <c r="U990"/>
  <c r="U992"/>
  <c r="U1003"/>
  <c r="U1004"/>
  <c r="U1005"/>
  <c r="U979"/>
  <c r="U948"/>
  <c r="U1029"/>
  <c r="U1031"/>
  <c r="U1021"/>
  <c r="U999"/>
  <c r="U988"/>
  <c r="U977"/>
  <c r="U951"/>
  <c r="U953"/>
  <c r="U939"/>
  <c r="U940"/>
  <c r="Q1027"/>
  <c r="Q994"/>
  <c r="Q990"/>
  <c r="Q992"/>
  <c r="Q1003"/>
  <c r="Q1004"/>
  <c r="Q1005"/>
  <c r="Q979"/>
  <c r="Q948"/>
  <c r="Q1029"/>
  <c r="Q1031"/>
  <c r="Q1021"/>
  <c r="Q999"/>
  <c r="Q988"/>
  <c r="Q977"/>
  <c r="Q951"/>
  <c r="Q953"/>
  <c r="Q939"/>
  <c r="Q940"/>
  <c r="M1027"/>
  <c r="M994"/>
  <c r="M990"/>
  <c r="M992"/>
  <c r="M1003"/>
  <c r="M1004"/>
  <c r="M1005"/>
  <c r="M979"/>
  <c r="M948"/>
  <c r="M1029"/>
  <c r="M1031"/>
  <c r="M1021"/>
  <c r="M999"/>
  <c r="M988"/>
  <c r="M977"/>
  <c r="M951"/>
  <c r="M953"/>
  <c r="M939"/>
  <c r="M940"/>
  <c r="I1027"/>
  <c r="I994"/>
  <c r="I990"/>
  <c r="I992"/>
  <c r="I1003"/>
  <c r="I1004"/>
  <c r="I1005"/>
  <c r="I979"/>
  <c r="I948"/>
  <c r="I1029"/>
  <c r="I1031"/>
  <c r="I1021"/>
  <c r="I999"/>
  <c r="I988"/>
  <c r="I977"/>
  <c r="I951"/>
  <c r="I953"/>
  <c r="I939"/>
  <c r="I940"/>
  <c r="AB913"/>
  <c r="AB880"/>
  <c r="AB876"/>
  <c r="AB878"/>
  <c r="AB889"/>
  <c r="AB890"/>
  <c r="AB891"/>
  <c r="AB865"/>
  <c r="AB915"/>
  <c r="AB917"/>
  <c r="AB907"/>
  <c r="AB885"/>
  <c r="AB874"/>
  <c r="AB863"/>
  <c r="AB837"/>
  <c r="AB839"/>
  <c r="AB834"/>
  <c r="AB826"/>
  <c r="AB825"/>
  <c r="X913"/>
  <c r="X880"/>
  <c r="X876"/>
  <c r="X878"/>
  <c r="X889"/>
  <c r="X890"/>
  <c r="X891"/>
  <c r="X865"/>
  <c r="X915"/>
  <c r="X917"/>
  <c r="X907"/>
  <c r="X885"/>
  <c r="X874"/>
  <c r="X863"/>
  <c r="X837"/>
  <c r="X839"/>
  <c r="X834"/>
  <c r="X826"/>
  <c r="X825"/>
  <c r="T913"/>
  <c r="T880"/>
  <c r="T876"/>
  <c r="T878"/>
  <c r="T889"/>
  <c r="T890"/>
  <c r="T891"/>
  <c r="T865"/>
  <c r="T915"/>
  <c r="T917"/>
  <c r="T907"/>
  <c r="T885"/>
  <c r="T874"/>
  <c r="T863"/>
  <c r="T837"/>
  <c r="T839"/>
  <c r="T834"/>
  <c r="T826"/>
  <c r="T825"/>
  <c r="P913"/>
  <c r="P880"/>
  <c r="P876"/>
  <c r="P878"/>
  <c r="P889"/>
  <c r="P890"/>
  <c r="P891"/>
  <c r="P865"/>
  <c r="P915"/>
  <c r="P917"/>
  <c r="P907"/>
  <c r="P885"/>
  <c r="P874"/>
  <c r="P863"/>
  <c r="P837"/>
  <c r="P839"/>
  <c r="P834"/>
  <c r="P826"/>
  <c r="P825"/>
  <c r="L913"/>
  <c r="L880"/>
  <c r="L876"/>
  <c r="L878"/>
  <c r="L889"/>
  <c r="L890"/>
  <c r="L891"/>
  <c r="L865"/>
  <c r="L915"/>
  <c r="L917"/>
  <c r="L907"/>
  <c r="L885"/>
  <c r="L874"/>
  <c r="L863"/>
  <c r="L837"/>
  <c r="L839"/>
  <c r="L834"/>
  <c r="L826"/>
  <c r="L825"/>
  <c r="H913"/>
  <c r="H880"/>
  <c r="H876"/>
  <c r="H915"/>
  <c r="H907"/>
  <c r="H874"/>
  <c r="H863"/>
  <c r="H837"/>
  <c r="H834"/>
  <c r="H826"/>
  <c r="H825"/>
  <c r="G69"/>
  <c r="AC801"/>
  <c r="AC803"/>
  <c r="AC793"/>
  <c r="AC771"/>
  <c r="AC760"/>
  <c r="AC749"/>
  <c r="AC723"/>
  <c r="AC725"/>
  <c r="AC712"/>
  <c r="AC799"/>
  <c r="AC766"/>
  <c r="AC762"/>
  <c r="AC764"/>
  <c r="AC775"/>
  <c r="AC776"/>
  <c r="AC777"/>
  <c r="AC751"/>
  <c r="AC720"/>
  <c r="AC711"/>
  <c r="Y801"/>
  <c r="Y803"/>
  <c r="Y793"/>
  <c r="Y771"/>
  <c r="Y760"/>
  <c r="Y749"/>
  <c r="Y723"/>
  <c r="Y725"/>
  <c r="Y712"/>
  <c r="Y799"/>
  <c r="Y766"/>
  <c r="Y762"/>
  <c r="Y764"/>
  <c r="Y775"/>
  <c r="Y776"/>
  <c r="Y777"/>
  <c r="Y751"/>
  <c r="Y720"/>
  <c r="Y711"/>
  <c r="U801"/>
  <c r="U803"/>
  <c r="U793"/>
  <c r="U771"/>
  <c r="U760"/>
  <c r="U749"/>
  <c r="U723"/>
  <c r="U725"/>
  <c r="U712"/>
  <c r="U799"/>
  <c r="U766"/>
  <c r="U762"/>
  <c r="U764"/>
  <c r="U775"/>
  <c r="U776"/>
  <c r="U777"/>
  <c r="U751"/>
  <c r="U720"/>
  <c r="U711"/>
  <c r="Q801"/>
  <c r="Q803"/>
  <c r="Q793"/>
  <c r="Q771"/>
  <c r="Q760"/>
  <c r="Q749"/>
  <c r="Q723"/>
  <c r="Q725"/>
  <c r="Q712"/>
  <c r="Q799"/>
  <c r="Q766"/>
  <c r="Q762"/>
  <c r="Q764"/>
  <c r="Q775"/>
  <c r="Q776"/>
  <c r="Q777"/>
  <c r="Q751"/>
  <c r="Q720"/>
  <c r="Q711"/>
  <c r="M801"/>
  <c r="M803"/>
  <c r="M793"/>
  <c r="M771"/>
  <c r="M760"/>
  <c r="M749"/>
  <c r="M723"/>
  <c r="M725"/>
  <c r="M712"/>
  <c r="M799"/>
  <c r="M766"/>
  <c r="M762"/>
  <c r="M764"/>
  <c r="M775"/>
  <c r="M776"/>
  <c r="M777"/>
  <c r="M751"/>
  <c r="M720"/>
  <c r="M711"/>
  <c r="I801"/>
  <c r="I803"/>
  <c r="I793"/>
  <c r="I771"/>
  <c r="I760"/>
  <c r="I749"/>
  <c r="I723"/>
  <c r="I725"/>
  <c r="I712"/>
  <c r="I799"/>
  <c r="I766"/>
  <c r="I762"/>
  <c r="I764"/>
  <c r="I775"/>
  <c r="I776"/>
  <c r="I777"/>
  <c r="I751"/>
  <c r="I720"/>
  <c r="I711"/>
  <c r="AB687"/>
  <c r="AB689"/>
  <c r="AB679"/>
  <c r="AB657"/>
  <c r="AB646"/>
  <c r="AB635"/>
  <c r="AB685"/>
  <c r="AB652"/>
  <c r="AB648"/>
  <c r="AB650"/>
  <c r="AB661"/>
  <c r="AB662"/>
  <c r="AB663"/>
  <c r="AB637"/>
  <c r="AB606"/>
  <c r="AB597"/>
  <c r="AB609"/>
  <c r="AB611"/>
  <c r="AB598"/>
  <c r="X687"/>
  <c r="X689"/>
  <c r="X679"/>
  <c r="X657"/>
  <c r="X646"/>
  <c r="X635"/>
  <c r="X685"/>
  <c r="X652"/>
  <c r="X648"/>
  <c r="X650"/>
  <c r="X661"/>
  <c r="X662"/>
  <c r="X663"/>
  <c r="X637"/>
  <c r="X606"/>
  <c r="X597"/>
  <c r="X609"/>
  <c r="X611"/>
  <c r="X598"/>
  <c r="T687"/>
  <c r="T689"/>
  <c r="T679"/>
  <c r="T657"/>
  <c r="T646"/>
  <c r="T635"/>
  <c r="T685"/>
  <c r="T652"/>
  <c r="T648"/>
  <c r="T650"/>
  <c r="T661"/>
  <c r="T662"/>
  <c r="T663"/>
  <c r="T637"/>
  <c r="T606"/>
  <c r="T597"/>
  <c r="T609"/>
  <c r="T611"/>
  <c r="T598"/>
  <c r="P687"/>
  <c r="P689"/>
  <c r="P679"/>
  <c r="P657"/>
  <c r="P646"/>
  <c r="P635"/>
  <c r="P685"/>
  <c r="P652"/>
  <c r="P648"/>
  <c r="P650"/>
  <c r="P661"/>
  <c r="P662"/>
  <c r="P663"/>
  <c r="P637"/>
  <c r="P606"/>
  <c r="P597"/>
  <c r="P609"/>
  <c r="P611"/>
  <c r="P598"/>
  <c r="L687"/>
  <c r="L689"/>
  <c r="L679"/>
  <c r="L657"/>
  <c r="L646"/>
  <c r="L635"/>
  <c r="L685"/>
  <c r="L652"/>
  <c r="L648"/>
  <c r="L650"/>
  <c r="L661"/>
  <c r="L662"/>
  <c r="L663"/>
  <c r="L637"/>
  <c r="L606"/>
  <c r="L597"/>
  <c r="L609"/>
  <c r="L611"/>
  <c r="L598"/>
  <c r="H687"/>
  <c r="H679"/>
  <c r="H646"/>
  <c r="H635"/>
  <c r="H685"/>
  <c r="H652"/>
  <c r="H648"/>
  <c r="H606"/>
  <c r="H597"/>
  <c r="H609"/>
  <c r="H598"/>
  <c r="G67"/>
  <c r="AC571"/>
  <c r="AC538"/>
  <c r="AC534"/>
  <c r="AC536"/>
  <c r="AC547"/>
  <c r="AC548"/>
  <c r="AC549"/>
  <c r="AC523"/>
  <c r="AC492"/>
  <c r="AC483"/>
  <c r="AC573"/>
  <c r="AC575"/>
  <c r="AC565"/>
  <c r="AC543"/>
  <c r="AC532"/>
  <c r="AC521"/>
  <c r="AC495"/>
  <c r="AC497"/>
  <c r="AC484"/>
  <c r="Y571"/>
  <c r="Y538"/>
  <c r="Y534"/>
  <c r="Y536"/>
  <c r="Y547"/>
  <c r="Y548"/>
  <c r="Y549"/>
  <c r="Y523"/>
  <c r="Y492"/>
  <c r="Y483"/>
  <c r="Y573"/>
  <c r="Y575"/>
  <c r="Y565"/>
  <c r="Y543"/>
  <c r="Y532"/>
  <c r="Y521"/>
  <c r="Y495"/>
  <c r="Y497"/>
  <c r="Y484"/>
  <c r="U571"/>
  <c r="U538"/>
  <c r="U534"/>
  <c r="U536"/>
  <c r="U547"/>
  <c r="U548"/>
  <c r="U549"/>
  <c r="U523"/>
  <c r="U492"/>
  <c r="U483"/>
  <c r="U573"/>
  <c r="U575"/>
  <c r="U565"/>
  <c r="U543"/>
  <c r="U532"/>
  <c r="U521"/>
  <c r="U495"/>
  <c r="U497"/>
  <c r="U484"/>
  <c r="Q571"/>
  <c r="Q538"/>
  <c r="Q534"/>
  <c r="Q536"/>
  <c r="Q547"/>
  <c r="Q548"/>
  <c r="Q549"/>
  <c r="Q523"/>
  <c r="Q492"/>
  <c r="Q483"/>
  <c r="Q573"/>
  <c r="Q575"/>
  <c r="Q565"/>
  <c r="Q543"/>
  <c r="Q532"/>
  <c r="Q521"/>
  <c r="Q495"/>
  <c r="Q497"/>
  <c r="Q484"/>
  <c r="M571"/>
  <c r="M538"/>
  <c r="M534"/>
  <c r="M536"/>
  <c r="M547"/>
  <c r="M548"/>
  <c r="M549"/>
  <c r="M523"/>
  <c r="M492"/>
  <c r="M483"/>
  <c r="M573"/>
  <c r="M575"/>
  <c r="M565"/>
  <c r="M543"/>
  <c r="M532"/>
  <c r="M521"/>
  <c r="M495"/>
  <c r="M497"/>
  <c r="M484"/>
  <c r="I571"/>
  <c r="I538"/>
  <c r="I534"/>
  <c r="I536"/>
  <c r="I547"/>
  <c r="I548"/>
  <c r="I549"/>
  <c r="I523"/>
  <c r="I492"/>
  <c r="I483"/>
  <c r="I573"/>
  <c r="I575"/>
  <c r="I565"/>
  <c r="I543"/>
  <c r="I532"/>
  <c r="I521"/>
  <c r="I495"/>
  <c r="I497"/>
  <c r="I484"/>
  <c r="AB457"/>
  <c r="AB424"/>
  <c r="AB420"/>
  <c r="AB422"/>
  <c r="AB433"/>
  <c r="AB434"/>
  <c r="AB435"/>
  <c r="AB409"/>
  <c r="AB459"/>
  <c r="AB461"/>
  <c r="AB451"/>
  <c r="AB429"/>
  <c r="AB418"/>
  <c r="AB407"/>
  <c r="AB381"/>
  <c r="AB383"/>
  <c r="AB370"/>
  <c r="AB378"/>
  <c r="AB369"/>
  <c r="X457"/>
  <c r="X424"/>
  <c r="X420"/>
  <c r="X422"/>
  <c r="X433"/>
  <c r="X434"/>
  <c r="X435"/>
  <c r="X409"/>
  <c r="X459"/>
  <c r="X461"/>
  <c r="X451"/>
  <c r="X429"/>
  <c r="X418"/>
  <c r="X407"/>
  <c r="X381"/>
  <c r="X383"/>
  <c r="X370"/>
  <c r="X378"/>
  <c r="X369"/>
  <c r="T457"/>
  <c r="T424"/>
  <c r="T420"/>
  <c r="T422"/>
  <c r="T433"/>
  <c r="T434"/>
  <c r="T435"/>
  <c r="T409"/>
  <c r="T459"/>
  <c r="T461"/>
  <c r="T451"/>
  <c r="T429"/>
  <c r="T418"/>
  <c r="T407"/>
  <c r="T381"/>
  <c r="T383"/>
  <c r="T370"/>
  <c r="T378"/>
  <c r="T369"/>
  <c r="P457"/>
  <c r="P424"/>
  <c r="P420"/>
  <c r="P422"/>
  <c r="P433"/>
  <c r="P434"/>
  <c r="P435"/>
  <c r="P409"/>
  <c r="P459"/>
  <c r="P461"/>
  <c r="P451"/>
  <c r="P429"/>
  <c r="P418"/>
  <c r="P407"/>
  <c r="P381"/>
  <c r="P383"/>
  <c r="P370"/>
  <c r="P378"/>
  <c r="P369"/>
  <c r="L457"/>
  <c r="L424"/>
  <c r="L420"/>
  <c r="L422"/>
  <c r="L433"/>
  <c r="L434"/>
  <c r="L435"/>
  <c r="L409"/>
  <c r="L459"/>
  <c r="L461"/>
  <c r="L451"/>
  <c r="L429"/>
  <c r="L418"/>
  <c r="L407"/>
  <c r="L381"/>
  <c r="L383"/>
  <c r="L370"/>
  <c r="L378"/>
  <c r="L369"/>
  <c r="H457"/>
  <c r="H424"/>
  <c r="H420"/>
  <c r="H459"/>
  <c r="H451"/>
  <c r="H418"/>
  <c r="H407"/>
  <c r="H381"/>
  <c r="H370"/>
  <c r="G65"/>
  <c r="H378"/>
  <c r="H369"/>
  <c r="AC345"/>
  <c r="AC347"/>
  <c r="AC337"/>
  <c r="AC315"/>
  <c r="AC304"/>
  <c r="AC293"/>
  <c r="AC267"/>
  <c r="AC269"/>
  <c r="AC256"/>
  <c r="AC343"/>
  <c r="AC310"/>
  <c r="AC306"/>
  <c r="AC308"/>
  <c r="AC319"/>
  <c r="AC320"/>
  <c r="AC321"/>
  <c r="AC295"/>
  <c r="AC264"/>
  <c r="AC255"/>
  <c r="Y345"/>
  <c r="Y347"/>
  <c r="Y337"/>
  <c r="Y315"/>
  <c r="Y304"/>
  <c r="Y293"/>
  <c r="Y267"/>
  <c r="Y269"/>
  <c r="Y256"/>
  <c r="Y343"/>
  <c r="Y310"/>
  <c r="Y306"/>
  <c r="Y308"/>
  <c r="Y319"/>
  <c r="Y320"/>
  <c r="Y321"/>
  <c r="Y295"/>
  <c r="Y264"/>
  <c r="Y255"/>
  <c r="U345"/>
  <c r="U347"/>
  <c r="U337"/>
  <c r="U315"/>
  <c r="U304"/>
  <c r="U293"/>
  <c r="U267"/>
  <c r="U269"/>
  <c r="U256"/>
  <c r="U343"/>
  <c r="U310"/>
  <c r="U306"/>
  <c r="U308"/>
  <c r="U319"/>
  <c r="U320"/>
  <c r="U321"/>
  <c r="U295"/>
  <c r="U264"/>
  <c r="U255"/>
  <c r="Q345"/>
  <c r="Q347"/>
  <c r="Q337"/>
  <c r="Q315"/>
  <c r="Q304"/>
  <c r="Q293"/>
  <c r="Q267"/>
  <c r="Q269"/>
  <c r="Q256"/>
  <c r="Q343"/>
  <c r="Q310"/>
  <c r="Q306"/>
  <c r="Q308"/>
  <c r="Q319"/>
  <c r="Q320"/>
  <c r="Q321"/>
  <c r="Q295"/>
  <c r="Q264"/>
  <c r="Q255"/>
  <c r="M345"/>
  <c r="M347"/>
  <c r="M337"/>
  <c r="M315"/>
  <c r="M304"/>
  <c r="M293"/>
  <c r="M267"/>
  <c r="M269"/>
  <c r="M256"/>
  <c r="M343"/>
  <c r="M310"/>
  <c r="M306"/>
  <c r="M308"/>
  <c r="M319"/>
  <c r="M320"/>
  <c r="M321"/>
  <c r="M295"/>
  <c r="M264"/>
  <c r="M255"/>
  <c r="I345"/>
  <c r="I347"/>
  <c r="I337"/>
  <c r="I315"/>
  <c r="I304"/>
  <c r="I293"/>
  <c r="I267"/>
  <c r="I269"/>
  <c r="I256"/>
  <c r="I343"/>
  <c r="I310"/>
  <c r="I306"/>
  <c r="I308"/>
  <c r="I319"/>
  <c r="I320"/>
  <c r="I321"/>
  <c r="I295"/>
  <c r="I264"/>
  <c r="I255"/>
  <c r="AB231"/>
  <c r="AB233"/>
  <c r="AB223"/>
  <c r="AB201"/>
  <c r="AB190"/>
  <c r="AB177"/>
  <c r="AB146"/>
  <c r="AB148"/>
  <c r="AB129"/>
  <c r="AB229"/>
  <c r="AB196"/>
  <c r="AB192"/>
  <c r="AB194"/>
  <c r="AB205"/>
  <c r="AB206"/>
  <c r="AB207"/>
  <c r="AB179"/>
  <c r="AB143"/>
  <c r="AB127"/>
  <c r="X231"/>
  <c r="X233"/>
  <c r="X223"/>
  <c r="X201"/>
  <c r="X190"/>
  <c r="X177"/>
  <c r="X146"/>
  <c r="X148"/>
  <c r="X129"/>
  <c r="X229"/>
  <c r="X196"/>
  <c r="X192"/>
  <c r="X194"/>
  <c r="X205"/>
  <c r="X206"/>
  <c r="X207"/>
  <c r="X179"/>
  <c r="X143"/>
  <c r="X127"/>
  <c r="T231"/>
  <c r="T233"/>
  <c r="T223"/>
  <c r="T201"/>
  <c r="T190"/>
  <c r="T177"/>
  <c r="T146"/>
  <c r="T148"/>
  <c r="T129"/>
  <c r="T229"/>
  <c r="T196"/>
  <c r="T192"/>
  <c r="T194"/>
  <c r="T205"/>
  <c r="T206"/>
  <c r="T207"/>
  <c r="T179"/>
  <c r="T143"/>
  <c r="T127"/>
  <c r="P231"/>
  <c r="P233"/>
  <c r="P223"/>
  <c r="P201"/>
  <c r="P190"/>
  <c r="P177"/>
  <c r="P146"/>
  <c r="P148"/>
  <c r="P129"/>
  <c r="P229"/>
  <c r="P196"/>
  <c r="P192"/>
  <c r="P194"/>
  <c r="P205"/>
  <c r="P206"/>
  <c r="P207"/>
  <c r="P179"/>
  <c r="P143"/>
  <c r="P127"/>
  <c r="L231"/>
  <c r="L233"/>
  <c r="L223"/>
  <c r="L201"/>
  <c r="L190"/>
  <c r="L177"/>
  <c r="L146"/>
  <c r="L148"/>
  <c r="L129"/>
  <c r="L229"/>
  <c r="L196"/>
  <c r="L192"/>
  <c r="L194"/>
  <c r="L205"/>
  <c r="L206"/>
  <c r="L207"/>
  <c r="L179"/>
  <c r="L143"/>
  <c r="L127"/>
  <c r="H231"/>
  <c r="H223"/>
  <c r="H190"/>
  <c r="H177"/>
  <c r="H146"/>
  <c r="H129"/>
  <c r="G63"/>
  <c r="H229"/>
  <c r="H196"/>
  <c r="H192"/>
  <c r="H143"/>
  <c r="H127"/>
  <c r="AE1149"/>
  <c r="AE1150"/>
  <c r="AE1151"/>
  <c r="AE1147"/>
  <c r="G359"/>
  <c r="G243"/>
  <c r="G215"/>
  <c r="G185"/>
  <c r="G164"/>
  <c r="AB357"/>
  <c r="X357"/>
  <c r="T357"/>
  <c r="P357"/>
  <c r="L357"/>
  <c r="H357"/>
  <c r="AE327"/>
  <c r="AA327"/>
  <c r="W327"/>
  <c r="S327"/>
  <c r="O327"/>
  <c r="K327"/>
  <c r="G213"/>
  <c r="C115"/>
  <c r="G61"/>
  <c r="G59"/>
  <c r="G57"/>
  <c r="G55"/>
  <c r="G413"/>
  <c r="I441"/>
  <c r="M441"/>
  <c r="Q441"/>
  <c r="U441"/>
  <c r="Y441"/>
  <c r="AC441"/>
  <c r="H471"/>
  <c r="L471"/>
  <c r="P471"/>
  <c r="T471"/>
  <c r="X471"/>
  <c r="AB471"/>
  <c r="J555"/>
  <c r="N555"/>
  <c r="R555"/>
  <c r="V555"/>
  <c r="Z555"/>
  <c r="AD555"/>
  <c r="K585"/>
  <c r="O585"/>
  <c r="S585"/>
  <c r="W585"/>
  <c r="AA585"/>
  <c r="AE585"/>
  <c r="H441"/>
  <c r="L441"/>
  <c r="P441"/>
  <c r="T441"/>
  <c r="X441"/>
  <c r="AB441"/>
  <c r="G453"/>
  <c r="I471"/>
  <c r="M471"/>
  <c r="Q471"/>
  <c r="U471"/>
  <c r="Y471"/>
  <c r="AC471"/>
  <c r="K555"/>
  <c r="O555"/>
  <c r="S555"/>
  <c r="W555"/>
  <c r="AA555"/>
  <c r="AE555"/>
  <c r="J585"/>
  <c r="N585"/>
  <c r="R585"/>
  <c r="V585"/>
  <c r="Z585"/>
  <c r="AD585"/>
  <c r="H669"/>
  <c r="L669"/>
  <c r="P669"/>
  <c r="T669"/>
  <c r="X669"/>
  <c r="AB669"/>
  <c r="G681"/>
  <c r="I699"/>
  <c r="M699"/>
  <c r="Q699"/>
  <c r="U699"/>
  <c r="Y699"/>
  <c r="AC699"/>
  <c r="K783"/>
  <c r="O783"/>
  <c r="S783"/>
  <c r="W783"/>
  <c r="AA783"/>
  <c r="AE783"/>
  <c r="J813"/>
  <c r="N813"/>
  <c r="R813"/>
  <c r="V813"/>
  <c r="Z813"/>
  <c r="AD813"/>
  <c r="G641"/>
  <c r="I669"/>
  <c r="M669"/>
  <c r="Q669"/>
  <c r="U669"/>
  <c r="Y669"/>
  <c r="AC669"/>
  <c r="H699"/>
  <c r="L699"/>
  <c r="P699"/>
  <c r="T699"/>
  <c r="X699"/>
  <c r="AB699"/>
  <c r="J783"/>
  <c r="N783"/>
  <c r="R783"/>
  <c r="V783"/>
  <c r="Z783"/>
  <c r="AD783"/>
  <c r="K813"/>
  <c r="O813"/>
  <c r="S813"/>
  <c r="W813"/>
  <c r="AA813"/>
  <c r="AE813"/>
  <c r="G869"/>
  <c r="I897"/>
  <c r="M897"/>
  <c r="Q897"/>
  <c r="U897"/>
  <c r="Y897"/>
  <c r="AC897"/>
  <c r="H927"/>
  <c r="L927"/>
  <c r="P927"/>
  <c r="T927"/>
  <c r="X927"/>
  <c r="AB927"/>
  <c r="J897"/>
  <c r="N897"/>
  <c r="R897"/>
  <c r="V897"/>
  <c r="Z897"/>
  <c r="AD897"/>
  <c r="K927"/>
  <c r="O927"/>
  <c r="S927"/>
  <c r="W927"/>
  <c r="AA927"/>
  <c r="AE927"/>
  <c r="H1011"/>
  <c r="L1011"/>
  <c r="P1011"/>
  <c r="T1011"/>
  <c r="X1011"/>
  <c r="AB1011"/>
  <c r="G1023"/>
  <c r="I1041"/>
  <c r="M1041"/>
  <c r="Q1041"/>
  <c r="U1041"/>
  <c r="Y1041"/>
  <c r="AC1041"/>
  <c r="K1011"/>
  <c r="O1011"/>
  <c r="S1011"/>
  <c r="W1011"/>
  <c r="AA1011"/>
  <c r="AE1011"/>
  <c r="J1041"/>
  <c r="N1041"/>
  <c r="R1041"/>
  <c r="V1041"/>
  <c r="Z1041"/>
  <c r="AD1041"/>
  <c r="G1097"/>
  <c r="I1125"/>
  <c r="M1125"/>
  <c r="Q1125"/>
  <c r="U1125"/>
  <c r="Y1125"/>
  <c r="AC1125"/>
  <c r="H1155"/>
  <c r="L1155"/>
  <c r="P1155"/>
  <c r="T1155"/>
  <c r="X1155"/>
  <c r="AB1155"/>
  <c r="J1125"/>
  <c r="N1125"/>
  <c r="R1125"/>
  <c r="V1125"/>
  <c r="Z1125"/>
  <c r="AD1125"/>
  <c r="K1155"/>
  <c r="O1155"/>
  <c r="S1155"/>
  <c r="W1155"/>
  <c r="AA1155"/>
  <c r="AE1155"/>
  <c r="G131"/>
  <c r="H158"/>
  <c r="L158"/>
  <c r="P158"/>
  <c r="T158"/>
  <c r="X158"/>
  <c r="AB158"/>
  <c r="J211"/>
  <c r="N211"/>
  <c r="R211"/>
  <c r="V211"/>
  <c r="Z211"/>
  <c r="AD211"/>
  <c r="K158"/>
  <c r="O158"/>
  <c r="S158"/>
  <c r="W158"/>
  <c r="AA158"/>
  <c r="AE158"/>
  <c r="I211"/>
  <c r="M211"/>
  <c r="Q211"/>
  <c r="U211"/>
  <c r="Y211"/>
  <c r="AC211"/>
  <c r="AE1108"/>
  <c r="AE1113"/>
  <c r="AC1143"/>
  <c r="AC1145"/>
  <c r="AC1135"/>
  <c r="AC1113"/>
  <c r="AC1141"/>
  <c r="AC1108"/>
  <c r="AC1102"/>
  <c r="AC1091"/>
  <c r="AC1065"/>
  <c r="AC1067"/>
  <c r="AC1054"/>
  <c r="AC1104"/>
  <c r="AC1106"/>
  <c r="AC1117"/>
  <c r="AC1118"/>
  <c r="AC1119"/>
  <c r="AC1093"/>
  <c r="AC1062"/>
  <c r="AC1053"/>
  <c r="Y1143"/>
  <c r="Y1145"/>
  <c r="Y1135"/>
  <c r="Y1113"/>
  <c r="Y1141"/>
  <c r="Y1102"/>
  <c r="Y1091"/>
  <c r="Y1065"/>
  <c r="Y1067"/>
  <c r="Y1054"/>
  <c r="Y1108"/>
  <c r="Y1104"/>
  <c r="Y1106"/>
  <c r="Y1117"/>
  <c r="Y1118"/>
  <c r="Y1119"/>
  <c r="Y1093"/>
  <c r="Y1062"/>
  <c r="Y1053"/>
  <c r="U1143"/>
  <c r="U1145"/>
  <c r="U1135"/>
  <c r="U1113"/>
  <c r="U1141"/>
  <c r="U1102"/>
  <c r="U1091"/>
  <c r="U1065"/>
  <c r="U1067"/>
  <c r="U1054"/>
  <c r="U1108"/>
  <c r="U1104"/>
  <c r="U1106"/>
  <c r="U1117"/>
  <c r="U1118"/>
  <c r="U1119"/>
  <c r="U1093"/>
  <c r="U1062"/>
  <c r="U1053"/>
  <c r="Q1143"/>
  <c r="Q1145"/>
  <c r="Q1135"/>
  <c r="Q1113"/>
  <c r="Q1141"/>
  <c r="Q1102"/>
  <c r="Q1091"/>
  <c r="Q1065"/>
  <c r="Q1067"/>
  <c r="Q1054"/>
  <c r="Q1108"/>
  <c r="Q1104"/>
  <c r="Q1106"/>
  <c r="Q1117"/>
  <c r="Q1118"/>
  <c r="Q1119"/>
  <c r="Q1093"/>
  <c r="Q1062"/>
  <c r="Q1053"/>
  <c r="M1143"/>
  <c r="M1145"/>
  <c r="M1135"/>
  <c r="M1113"/>
  <c r="M1141"/>
  <c r="M1102"/>
  <c r="M1091"/>
  <c r="M1065"/>
  <c r="M1067"/>
  <c r="M1054"/>
  <c r="M1108"/>
  <c r="M1104"/>
  <c r="M1106"/>
  <c r="M1117"/>
  <c r="M1118"/>
  <c r="M1119"/>
  <c r="M1093"/>
  <c r="M1062"/>
  <c r="M1053"/>
  <c r="I1143"/>
  <c r="I1145"/>
  <c r="I1135"/>
  <c r="I1113"/>
  <c r="I1141"/>
  <c r="I1102"/>
  <c r="I1091"/>
  <c r="I1065"/>
  <c r="I1067"/>
  <c r="I1054"/>
  <c r="I1108"/>
  <c r="I1104"/>
  <c r="I1106"/>
  <c r="I1117"/>
  <c r="I1118"/>
  <c r="I1119"/>
  <c r="I1093"/>
  <c r="I1062"/>
  <c r="I1053"/>
  <c r="AB1029"/>
  <c r="AB1031"/>
  <c r="AB1021"/>
  <c r="AB999"/>
  <c r="AB988"/>
  <c r="AB977"/>
  <c r="AB951"/>
  <c r="AB953"/>
  <c r="AB940"/>
  <c r="AB1027"/>
  <c r="AB994"/>
  <c r="AB990"/>
  <c r="AB992"/>
  <c r="AB1003"/>
  <c r="AB1004"/>
  <c r="AB1005"/>
  <c r="AB979"/>
  <c r="AB948"/>
  <c r="AB939"/>
  <c r="X1029"/>
  <c r="X1031"/>
  <c r="X1021"/>
  <c r="X999"/>
  <c r="X988"/>
  <c r="X977"/>
  <c r="X951"/>
  <c r="X953"/>
  <c r="X940"/>
  <c r="X1027"/>
  <c r="X994"/>
  <c r="X990"/>
  <c r="X992"/>
  <c r="X1003"/>
  <c r="X1004"/>
  <c r="X1005"/>
  <c r="X979"/>
  <c r="X948"/>
  <c r="X939"/>
  <c r="T1029"/>
  <c r="T1031"/>
  <c r="T1021"/>
  <c r="T999"/>
  <c r="T988"/>
  <c r="T977"/>
  <c r="T951"/>
  <c r="T953"/>
  <c r="T940"/>
  <c r="T1027"/>
  <c r="T994"/>
  <c r="T990"/>
  <c r="T992"/>
  <c r="T1003"/>
  <c r="T1004"/>
  <c r="T1005"/>
  <c r="T979"/>
  <c r="T948"/>
  <c r="T939"/>
  <c r="P1029"/>
  <c r="P1031"/>
  <c r="P1021"/>
  <c r="P999"/>
  <c r="P988"/>
  <c r="P977"/>
  <c r="P951"/>
  <c r="P953"/>
  <c r="P1027"/>
  <c r="P994"/>
  <c r="P990"/>
  <c r="P992"/>
  <c r="P1003"/>
  <c r="P1004"/>
  <c r="P1005"/>
  <c r="P979"/>
  <c r="P948"/>
  <c r="P940"/>
  <c r="P939"/>
  <c r="L1029"/>
  <c r="L1031"/>
  <c r="L1021"/>
  <c r="L999"/>
  <c r="L988"/>
  <c r="L977"/>
  <c r="L951"/>
  <c r="L953"/>
  <c r="L1027"/>
  <c r="L994"/>
  <c r="L990"/>
  <c r="L992"/>
  <c r="L1003"/>
  <c r="L1004"/>
  <c r="L1005"/>
  <c r="L979"/>
  <c r="L948"/>
  <c r="L940"/>
  <c r="L939"/>
  <c r="H1029"/>
  <c r="H1021"/>
  <c r="H988"/>
  <c r="H977"/>
  <c r="H951"/>
  <c r="H1027"/>
  <c r="H994"/>
  <c r="H990"/>
  <c r="H948"/>
  <c r="H940"/>
  <c r="H939"/>
  <c r="G70"/>
  <c r="AC915"/>
  <c r="AC917"/>
  <c r="AC907"/>
  <c r="AC885"/>
  <c r="AC874"/>
  <c r="AC863"/>
  <c r="AC913"/>
  <c r="AC880"/>
  <c r="AC876"/>
  <c r="AC878"/>
  <c r="AC889"/>
  <c r="AC890"/>
  <c r="AC891"/>
  <c r="AC865"/>
  <c r="AC834"/>
  <c r="AC825"/>
  <c r="AC837"/>
  <c r="AC839"/>
  <c r="AC826"/>
  <c r="Y915"/>
  <c r="Y917"/>
  <c r="Y907"/>
  <c r="Y885"/>
  <c r="Y874"/>
  <c r="Y863"/>
  <c r="Y913"/>
  <c r="Y880"/>
  <c r="Y876"/>
  <c r="Y878"/>
  <c r="Y889"/>
  <c r="Y890"/>
  <c r="Y891"/>
  <c r="Y865"/>
  <c r="Y834"/>
  <c r="Y825"/>
  <c r="Y837"/>
  <c r="Y839"/>
  <c r="Y826"/>
  <c r="U915"/>
  <c r="U917"/>
  <c r="U907"/>
  <c r="U885"/>
  <c r="U874"/>
  <c r="U863"/>
  <c r="U913"/>
  <c r="U880"/>
  <c r="U876"/>
  <c r="U878"/>
  <c r="U889"/>
  <c r="U890"/>
  <c r="U891"/>
  <c r="U865"/>
  <c r="U834"/>
  <c r="U825"/>
  <c r="U837"/>
  <c r="U839"/>
  <c r="U826"/>
  <c r="Q915"/>
  <c r="Q917"/>
  <c r="Q907"/>
  <c r="Q885"/>
  <c r="Q874"/>
  <c r="Q863"/>
  <c r="Q913"/>
  <c r="Q880"/>
  <c r="Q876"/>
  <c r="Q878"/>
  <c r="Q889"/>
  <c r="Q890"/>
  <c r="Q891"/>
  <c r="Q865"/>
  <c r="Q834"/>
  <c r="Q825"/>
  <c r="Q837"/>
  <c r="Q839"/>
  <c r="Q826"/>
  <c r="M915"/>
  <c r="M917"/>
  <c r="M907"/>
  <c r="M885"/>
  <c r="M874"/>
  <c r="M863"/>
  <c r="M913"/>
  <c r="M880"/>
  <c r="M876"/>
  <c r="M878"/>
  <c r="M889"/>
  <c r="M890"/>
  <c r="M891"/>
  <c r="M865"/>
  <c r="M834"/>
  <c r="M825"/>
  <c r="M837"/>
  <c r="M839"/>
  <c r="M826"/>
  <c r="I915"/>
  <c r="I917"/>
  <c r="I907"/>
  <c r="I885"/>
  <c r="I874"/>
  <c r="I863"/>
  <c r="I913"/>
  <c r="I880"/>
  <c r="I876"/>
  <c r="I878"/>
  <c r="I889"/>
  <c r="I890"/>
  <c r="I891"/>
  <c r="I865"/>
  <c r="I834"/>
  <c r="I825"/>
  <c r="I837"/>
  <c r="I839"/>
  <c r="I826"/>
  <c r="AB799"/>
  <c r="AB766"/>
  <c r="AB762"/>
  <c r="AB764"/>
  <c r="AB775"/>
  <c r="AB776"/>
  <c r="AB777"/>
  <c r="AB751"/>
  <c r="AB720"/>
  <c r="AB711"/>
  <c r="AB801"/>
  <c r="AB803"/>
  <c r="AB793"/>
  <c r="AB771"/>
  <c r="AB760"/>
  <c r="AB749"/>
  <c r="AB723"/>
  <c r="AB725"/>
  <c r="AB712"/>
  <c r="X799"/>
  <c r="X766"/>
  <c r="X762"/>
  <c r="X764"/>
  <c r="X775"/>
  <c r="X776"/>
  <c r="X777"/>
  <c r="X751"/>
  <c r="X720"/>
  <c r="X711"/>
  <c r="X801"/>
  <c r="X803"/>
  <c r="X793"/>
  <c r="X771"/>
  <c r="X760"/>
  <c r="X749"/>
  <c r="X723"/>
  <c r="X725"/>
  <c r="X712"/>
  <c r="T799"/>
  <c r="T766"/>
  <c r="T762"/>
  <c r="T764"/>
  <c r="T775"/>
  <c r="T776"/>
  <c r="T777"/>
  <c r="T751"/>
  <c r="T720"/>
  <c r="T711"/>
  <c r="T801"/>
  <c r="T803"/>
  <c r="T793"/>
  <c r="T771"/>
  <c r="T760"/>
  <c r="T749"/>
  <c r="T723"/>
  <c r="T725"/>
  <c r="T712"/>
  <c r="P799"/>
  <c r="P766"/>
  <c r="P762"/>
  <c r="P764"/>
  <c r="P775"/>
  <c r="P776"/>
  <c r="P777"/>
  <c r="P751"/>
  <c r="P720"/>
  <c r="P711"/>
  <c r="P801"/>
  <c r="P803"/>
  <c r="P793"/>
  <c r="P771"/>
  <c r="P760"/>
  <c r="P749"/>
  <c r="P723"/>
  <c r="P725"/>
  <c r="P712"/>
  <c r="L799"/>
  <c r="L766"/>
  <c r="L762"/>
  <c r="L764"/>
  <c r="L775"/>
  <c r="L776"/>
  <c r="L777"/>
  <c r="L751"/>
  <c r="L720"/>
  <c r="L711"/>
  <c r="L801"/>
  <c r="L803"/>
  <c r="L793"/>
  <c r="L771"/>
  <c r="L760"/>
  <c r="L749"/>
  <c r="L723"/>
  <c r="L725"/>
  <c r="L712"/>
  <c r="H799"/>
  <c r="H766"/>
  <c r="H762"/>
  <c r="H720"/>
  <c r="H711"/>
  <c r="H801"/>
  <c r="H793"/>
  <c r="H760"/>
  <c r="H749"/>
  <c r="H723"/>
  <c r="H712"/>
  <c r="G68"/>
  <c r="AC685"/>
  <c r="AC652"/>
  <c r="AC648"/>
  <c r="AC650"/>
  <c r="AC661"/>
  <c r="AC662"/>
  <c r="AC663"/>
  <c r="AC637"/>
  <c r="AC687"/>
  <c r="AC689"/>
  <c r="AC679"/>
  <c r="AC657"/>
  <c r="AC646"/>
  <c r="AC635"/>
  <c r="AC609"/>
  <c r="AC611"/>
  <c r="AC598"/>
  <c r="AC606"/>
  <c r="AC597"/>
  <c r="Y685"/>
  <c r="Y652"/>
  <c r="Y648"/>
  <c r="Y650"/>
  <c r="Y661"/>
  <c r="Y662"/>
  <c r="Y663"/>
  <c r="Y637"/>
  <c r="Y687"/>
  <c r="Y689"/>
  <c r="Y679"/>
  <c r="Y657"/>
  <c r="Y646"/>
  <c r="Y635"/>
  <c r="Y609"/>
  <c r="Y611"/>
  <c r="Y598"/>
  <c r="Y606"/>
  <c r="Y597"/>
  <c r="U685"/>
  <c r="U652"/>
  <c r="U648"/>
  <c r="U650"/>
  <c r="U661"/>
  <c r="U662"/>
  <c r="U663"/>
  <c r="U637"/>
  <c r="U687"/>
  <c r="U689"/>
  <c r="U679"/>
  <c r="U657"/>
  <c r="U646"/>
  <c r="U635"/>
  <c r="U609"/>
  <c r="U611"/>
  <c r="U598"/>
  <c r="U606"/>
  <c r="U597"/>
  <c r="Q685"/>
  <c r="Q652"/>
  <c r="Q648"/>
  <c r="Q650"/>
  <c r="Q661"/>
  <c r="Q662"/>
  <c r="Q663"/>
  <c r="Q637"/>
  <c r="Q687"/>
  <c r="Q689"/>
  <c r="Q679"/>
  <c r="Q657"/>
  <c r="Q646"/>
  <c r="Q635"/>
  <c r="Q609"/>
  <c r="Q611"/>
  <c r="Q598"/>
  <c r="Q606"/>
  <c r="Q597"/>
  <c r="M685"/>
  <c r="M652"/>
  <c r="M648"/>
  <c r="M650"/>
  <c r="M661"/>
  <c r="M662"/>
  <c r="M663"/>
  <c r="M637"/>
  <c r="M687"/>
  <c r="M689"/>
  <c r="M679"/>
  <c r="M657"/>
  <c r="M646"/>
  <c r="M635"/>
  <c r="M609"/>
  <c r="M611"/>
  <c r="M598"/>
  <c r="M606"/>
  <c r="M597"/>
  <c r="I685"/>
  <c r="I652"/>
  <c r="I648"/>
  <c r="I650"/>
  <c r="I661"/>
  <c r="I662"/>
  <c r="I663"/>
  <c r="I637"/>
  <c r="I687"/>
  <c r="I689"/>
  <c r="I679"/>
  <c r="I657"/>
  <c r="I646"/>
  <c r="I635"/>
  <c r="I609"/>
  <c r="I611"/>
  <c r="I598"/>
  <c r="I606"/>
  <c r="I597"/>
  <c r="AB573"/>
  <c r="AB575"/>
  <c r="AB565"/>
  <c r="AB543"/>
  <c r="AB532"/>
  <c r="AB521"/>
  <c r="AB495"/>
  <c r="AB497"/>
  <c r="AB484"/>
  <c r="AB571"/>
  <c r="AB538"/>
  <c r="AB534"/>
  <c r="AB536"/>
  <c r="AB547"/>
  <c r="AB548"/>
  <c r="AB549"/>
  <c r="AB523"/>
  <c r="AB492"/>
  <c r="AB483"/>
  <c r="X573"/>
  <c r="X575"/>
  <c r="X565"/>
  <c r="X543"/>
  <c r="X532"/>
  <c r="X521"/>
  <c r="X495"/>
  <c r="X497"/>
  <c r="X484"/>
  <c r="X571"/>
  <c r="X538"/>
  <c r="X534"/>
  <c r="X536"/>
  <c r="X547"/>
  <c r="X548"/>
  <c r="X549"/>
  <c r="X523"/>
  <c r="X492"/>
  <c r="X483"/>
  <c r="T573"/>
  <c r="T575"/>
  <c r="T565"/>
  <c r="T543"/>
  <c r="T532"/>
  <c r="T521"/>
  <c r="T495"/>
  <c r="T497"/>
  <c r="T484"/>
  <c r="T571"/>
  <c r="T538"/>
  <c r="T534"/>
  <c r="T536"/>
  <c r="T547"/>
  <c r="T548"/>
  <c r="T549"/>
  <c r="T523"/>
  <c r="T492"/>
  <c r="T483"/>
  <c r="P573"/>
  <c r="P575"/>
  <c r="P565"/>
  <c r="P543"/>
  <c r="P532"/>
  <c r="P521"/>
  <c r="P495"/>
  <c r="P497"/>
  <c r="P484"/>
  <c r="P571"/>
  <c r="P538"/>
  <c r="P534"/>
  <c r="P536"/>
  <c r="P547"/>
  <c r="P548"/>
  <c r="P549"/>
  <c r="P523"/>
  <c r="P492"/>
  <c r="P483"/>
  <c r="L573"/>
  <c r="L575"/>
  <c r="L565"/>
  <c r="L543"/>
  <c r="L532"/>
  <c r="L521"/>
  <c r="L495"/>
  <c r="L497"/>
  <c r="L484"/>
  <c r="L571"/>
  <c r="L538"/>
  <c r="L534"/>
  <c r="L536"/>
  <c r="L547"/>
  <c r="L548"/>
  <c r="L549"/>
  <c r="L523"/>
  <c r="L492"/>
  <c r="L483"/>
  <c r="H573"/>
  <c r="H565"/>
  <c r="H532"/>
  <c r="H521"/>
  <c r="H495"/>
  <c r="H484"/>
  <c r="H571"/>
  <c r="H538"/>
  <c r="H534"/>
  <c r="H492"/>
  <c r="H483"/>
  <c r="G66"/>
  <c r="AC459"/>
  <c r="AC461"/>
  <c r="AC451"/>
  <c r="AC429"/>
  <c r="AC418"/>
  <c r="AC407"/>
  <c r="AC457"/>
  <c r="AC424"/>
  <c r="AC420"/>
  <c r="AC422"/>
  <c r="AC433"/>
  <c r="AC434"/>
  <c r="AC435"/>
  <c r="AC409"/>
  <c r="AC378"/>
  <c r="AC369"/>
  <c r="AC381"/>
  <c r="AC383"/>
  <c r="AC370"/>
  <c r="Y459"/>
  <c r="Y461"/>
  <c r="Y451"/>
  <c r="Y429"/>
  <c r="Y418"/>
  <c r="Y407"/>
  <c r="Y457"/>
  <c r="Y424"/>
  <c r="Y420"/>
  <c r="Y422"/>
  <c r="Y433"/>
  <c r="Y434"/>
  <c r="Y435"/>
  <c r="Y409"/>
  <c r="Y378"/>
  <c r="Y369"/>
  <c r="Y381"/>
  <c r="Y383"/>
  <c r="Y370"/>
  <c r="U459"/>
  <c r="U461"/>
  <c r="U451"/>
  <c r="U429"/>
  <c r="U418"/>
  <c r="U407"/>
  <c r="U457"/>
  <c r="U424"/>
  <c r="U420"/>
  <c r="U422"/>
  <c r="U433"/>
  <c r="U434"/>
  <c r="U435"/>
  <c r="U409"/>
  <c r="U378"/>
  <c r="U369"/>
  <c r="U381"/>
  <c r="U383"/>
  <c r="U370"/>
  <c r="Q459"/>
  <c r="Q461"/>
  <c r="Q451"/>
  <c r="Q429"/>
  <c r="Q418"/>
  <c r="Q407"/>
  <c r="Q457"/>
  <c r="Q424"/>
  <c r="Q420"/>
  <c r="Q422"/>
  <c r="Q433"/>
  <c r="Q434"/>
  <c r="Q435"/>
  <c r="Q409"/>
  <c r="Q378"/>
  <c r="Q369"/>
  <c r="Q381"/>
  <c r="Q383"/>
  <c r="Q370"/>
  <c r="M459"/>
  <c r="M461"/>
  <c r="M451"/>
  <c r="M429"/>
  <c r="M418"/>
  <c r="M407"/>
  <c r="M457"/>
  <c r="M424"/>
  <c r="M420"/>
  <c r="M422"/>
  <c r="M433"/>
  <c r="M434"/>
  <c r="M435"/>
  <c r="M409"/>
  <c r="M378"/>
  <c r="M369"/>
  <c r="M381"/>
  <c r="M383"/>
  <c r="M370"/>
  <c r="I459"/>
  <c r="I461"/>
  <c r="I451"/>
  <c r="I429"/>
  <c r="I418"/>
  <c r="I407"/>
  <c r="I457"/>
  <c r="I424"/>
  <c r="I420"/>
  <c r="I422"/>
  <c r="I433"/>
  <c r="I434"/>
  <c r="I435"/>
  <c r="I409"/>
  <c r="I378"/>
  <c r="I369"/>
  <c r="I381"/>
  <c r="I383"/>
  <c r="I370"/>
  <c r="AB343"/>
  <c r="AB310"/>
  <c r="AB306"/>
  <c r="AB308"/>
  <c r="AB319"/>
  <c r="AB320"/>
  <c r="AB321"/>
  <c r="AB295"/>
  <c r="AB264"/>
  <c r="AB255"/>
  <c r="AB345"/>
  <c r="AB347"/>
  <c r="AB337"/>
  <c r="AB315"/>
  <c r="AB304"/>
  <c r="AB293"/>
  <c r="AB267"/>
  <c r="AB269"/>
  <c r="AB256"/>
  <c r="X343"/>
  <c r="X310"/>
  <c r="X306"/>
  <c r="X308"/>
  <c r="X319"/>
  <c r="X320"/>
  <c r="X321"/>
  <c r="X295"/>
  <c r="X264"/>
  <c r="X255"/>
  <c r="X345"/>
  <c r="X347"/>
  <c r="X337"/>
  <c r="X315"/>
  <c r="X304"/>
  <c r="X293"/>
  <c r="X267"/>
  <c r="X269"/>
  <c r="X256"/>
  <c r="T343"/>
  <c r="T310"/>
  <c r="T306"/>
  <c r="T308"/>
  <c r="T319"/>
  <c r="T320"/>
  <c r="T321"/>
  <c r="T295"/>
  <c r="T264"/>
  <c r="T255"/>
  <c r="T345"/>
  <c r="T347"/>
  <c r="T337"/>
  <c r="T315"/>
  <c r="T304"/>
  <c r="T293"/>
  <c r="T267"/>
  <c r="T269"/>
  <c r="T256"/>
  <c r="P343"/>
  <c r="P310"/>
  <c r="P306"/>
  <c r="P308"/>
  <c r="P319"/>
  <c r="P320"/>
  <c r="P321"/>
  <c r="P295"/>
  <c r="P264"/>
  <c r="P255"/>
  <c r="P345"/>
  <c r="P347"/>
  <c r="P337"/>
  <c r="P315"/>
  <c r="P304"/>
  <c r="P293"/>
  <c r="P267"/>
  <c r="P269"/>
  <c r="P256"/>
  <c r="L343"/>
  <c r="L310"/>
  <c r="L306"/>
  <c r="L308"/>
  <c r="L319"/>
  <c r="L320"/>
  <c r="L321"/>
  <c r="L295"/>
  <c r="L264"/>
  <c r="L255"/>
  <c r="L345"/>
  <c r="L347"/>
  <c r="L337"/>
  <c r="L315"/>
  <c r="L304"/>
  <c r="L293"/>
  <c r="L267"/>
  <c r="L269"/>
  <c r="L256"/>
  <c r="H343"/>
  <c r="H310"/>
  <c r="H306"/>
  <c r="H264"/>
  <c r="H255"/>
  <c r="H345"/>
  <c r="H337"/>
  <c r="H304"/>
  <c r="H293"/>
  <c r="H267"/>
  <c r="H256"/>
  <c r="G64"/>
  <c r="AC229"/>
  <c r="AC196"/>
  <c r="AC192"/>
  <c r="AC194"/>
  <c r="AC205"/>
  <c r="AC206"/>
  <c r="AC207"/>
  <c r="AC179"/>
  <c r="AC143"/>
  <c r="AC127"/>
  <c r="AC231"/>
  <c r="AC233"/>
  <c r="AC223"/>
  <c r="AC201"/>
  <c r="AC190"/>
  <c r="AC177"/>
  <c r="AC146"/>
  <c r="AC148"/>
  <c r="AC129"/>
  <c r="Y229"/>
  <c r="Y196"/>
  <c r="Y192"/>
  <c r="Y194"/>
  <c r="Y205"/>
  <c r="Y206"/>
  <c r="Y207"/>
  <c r="Y179"/>
  <c r="Y143"/>
  <c r="Y127"/>
  <c r="Y231"/>
  <c r="Y233"/>
  <c r="Y223"/>
  <c r="Y201"/>
  <c r="Y190"/>
  <c r="Y177"/>
  <c r="Y146"/>
  <c r="Y148"/>
  <c r="Y129"/>
  <c r="U229"/>
  <c r="U196"/>
  <c r="U192"/>
  <c r="U194"/>
  <c r="U205"/>
  <c r="U206"/>
  <c r="U207"/>
  <c r="U179"/>
  <c r="U143"/>
  <c r="U127"/>
  <c r="U231"/>
  <c r="U233"/>
  <c r="U223"/>
  <c r="U201"/>
  <c r="U190"/>
  <c r="U177"/>
  <c r="U146"/>
  <c r="U148"/>
  <c r="U129"/>
  <c r="Q229"/>
  <c r="Q196"/>
  <c r="Q192"/>
  <c r="Q194"/>
  <c r="Q205"/>
  <c r="Q206"/>
  <c r="Q207"/>
  <c r="Q179"/>
  <c r="Q143"/>
  <c r="Q127"/>
  <c r="Q231"/>
  <c r="Q233"/>
  <c r="Q223"/>
  <c r="Q201"/>
  <c r="Q190"/>
  <c r="Q177"/>
  <c r="Q146"/>
  <c r="Q148"/>
  <c r="Q129"/>
  <c r="M229"/>
  <c r="M196"/>
  <c r="M192"/>
  <c r="M194"/>
  <c r="M205"/>
  <c r="M206"/>
  <c r="M207"/>
  <c r="M179"/>
  <c r="M143"/>
  <c r="M127"/>
  <c r="M231"/>
  <c r="M233"/>
  <c r="M223"/>
  <c r="M201"/>
  <c r="M190"/>
  <c r="M177"/>
  <c r="M146"/>
  <c r="M148"/>
  <c r="M129"/>
  <c r="I229"/>
  <c r="I196"/>
  <c r="I192"/>
  <c r="I194"/>
  <c r="I205"/>
  <c r="I206"/>
  <c r="I207"/>
  <c r="I179"/>
  <c r="I143"/>
  <c r="I127"/>
  <c r="I231"/>
  <c r="I233"/>
  <c r="I223"/>
  <c r="I201"/>
  <c r="I190"/>
  <c r="I177"/>
  <c r="I146"/>
  <c r="I148"/>
  <c r="I129"/>
  <c r="AD1141"/>
  <c r="AD1143"/>
  <c r="AD1145"/>
  <c r="AD1135"/>
  <c r="AD1113"/>
  <c r="AD1104"/>
  <c r="AD1106"/>
  <c r="AD1117"/>
  <c r="AD1118"/>
  <c r="AD1119"/>
  <c r="AD1093"/>
  <c r="AD1062"/>
  <c r="AD1053"/>
  <c r="AD1108"/>
  <c r="AD1102"/>
  <c r="AD1091"/>
  <c r="AD1065"/>
  <c r="AD1067"/>
  <c r="AD1054"/>
  <c r="Z1141"/>
  <c r="Z1143"/>
  <c r="Z1145"/>
  <c r="Z1135"/>
  <c r="Z1113"/>
  <c r="Z1108"/>
  <c r="Z1104"/>
  <c r="Z1106"/>
  <c r="Z1117"/>
  <c r="Z1118"/>
  <c r="Z1119"/>
  <c r="Z1093"/>
  <c r="Z1062"/>
  <c r="Z1053"/>
  <c r="Z1102"/>
  <c r="Z1091"/>
  <c r="Z1065"/>
  <c r="Z1067"/>
  <c r="Z1054"/>
  <c r="V1141"/>
  <c r="V1143"/>
  <c r="V1145"/>
  <c r="V1135"/>
  <c r="V1113"/>
  <c r="V1108"/>
  <c r="V1104"/>
  <c r="V1106"/>
  <c r="V1117"/>
  <c r="V1118"/>
  <c r="V1119"/>
  <c r="V1093"/>
  <c r="V1062"/>
  <c r="V1102"/>
  <c r="V1091"/>
  <c r="V1065"/>
  <c r="V1067"/>
  <c r="V1054"/>
  <c r="V1053"/>
  <c r="R1141"/>
  <c r="R1143"/>
  <c r="R1145"/>
  <c r="R1135"/>
  <c r="R1113"/>
  <c r="R1108"/>
  <c r="R1104"/>
  <c r="R1106"/>
  <c r="R1117"/>
  <c r="R1118"/>
  <c r="R1119"/>
  <c r="R1093"/>
  <c r="R1062"/>
  <c r="R1102"/>
  <c r="R1091"/>
  <c r="R1065"/>
  <c r="R1067"/>
  <c r="R1054"/>
  <c r="R1053"/>
  <c r="N1141"/>
  <c r="N1143"/>
  <c r="N1145"/>
  <c r="N1135"/>
  <c r="N1113"/>
  <c r="N1108"/>
  <c r="N1104"/>
  <c r="N1106"/>
  <c r="N1117"/>
  <c r="N1118"/>
  <c r="N1119"/>
  <c r="N1093"/>
  <c r="N1062"/>
  <c r="N1102"/>
  <c r="N1091"/>
  <c r="N1065"/>
  <c r="N1067"/>
  <c r="N1054"/>
  <c r="N1053"/>
  <c r="J1141"/>
  <c r="J1143"/>
  <c r="J1145"/>
  <c r="J1135"/>
  <c r="J1113"/>
  <c r="J1108"/>
  <c r="J1104"/>
  <c r="J1106"/>
  <c r="J1117"/>
  <c r="J1118"/>
  <c r="J1119"/>
  <c r="J1093"/>
  <c r="J1062"/>
  <c r="J1102"/>
  <c r="J1091"/>
  <c r="J1065"/>
  <c r="J1067"/>
  <c r="J1054"/>
  <c r="J1053"/>
  <c r="AE1027"/>
  <c r="AE994"/>
  <c r="AE990"/>
  <c r="AE992"/>
  <c r="AE1003"/>
  <c r="AE1004"/>
  <c r="AE1005"/>
  <c r="AE979"/>
  <c r="AE948"/>
  <c r="AE1029"/>
  <c r="AE1031"/>
  <c r="AE1021"/>
  <c r="AE999"/>
  <c r="AE988"/>
  <c r="AE977"/>
  <c r="AE951"/>
  <c r="AE953"/>
  <c r="AE940"/>
  <c r="AE939"/>
  <c r="AA1027"/>
  <c r="AA994"/>
  <c r="AA990"/>
  <c r="AA992"/>
  <c r="AA1003"/>
  <c r="AA1004"/>
  <c r="AA1005"/>
  <c r="AA979"/>
  <c r="AA948"/>
  <c r="AA1029"/>
  <c r="AA1031"/>
  <c r="AA1021"/>
  <c r="AA999"/>
  <c r="AA988"/>
  <c r="AA977"/>
  <c r="AA951"/>
  <c r="AA953"/>
  <c r="AA940"/>
  <c r="AA939"/>
  <c r="W1027"/>
  <c r="W994"/>
  <c r="W990"/>
  <c r="W992"/>
  <c r="W1003"/>
  <c r="W1004"/>
  <c r="W1005"/>
  <c r="W979"/>
  <c r="W948"/>
  <c r="W1029"/>
  <c r="W1031"/>
  <c r="W1021"/>
  <c r="W999"/>
  <c r="W988"/>
  <c r="W977"/>
  <c r="W951"/>
  <c r="W953"/>
  <c r="W940"/>
  <c r="W939"/>
  <c r="S1027"/>
  <c r="S994"/>
  <c r="S990"/>
  <c r="S992"/>
  <c r="S1003"/>
  <c r="S1004"/>
  <c r="S1005"/>
  <c r="S979"/>
  <c r="S948"/>
  <c r="S1029"/>
  <c r="S1031"/>
  <c r="S1021"/>
  <c r="S999"/>
  <c r="S988"/>
  <c r="S977"/>
  <c r="S951"/>
  <c r="S953"/>
  <c r="S940"/>
  <c r="S939"/>
  <c r="O1027"/>
  <c r="O994"/>
  <c r="O990"/>
  <c r="O992"/>
  <c r="O1003"/>
  <c r="O1004"/>
  <c r="O1005"/>
  <c r="O979"/>
  <c r="O948"/>
  <c r="O1029"/>
  <c r="O1031"/>
  <c r="O1021"/>
  <c r="O999"/>
  <c r="O988"/>
  <c r="O977"/>
  <c r="O951"/>
  <c r="O953"/>
  <c r="O939"/>
  <c r="O940"/>
  <c r="K1027"/>
  <c r="K994"/>
  <c r="K990"/>
  <c r="K992"/>
  <c r="K1003"/>
  <c r="K1004"/>
  <c r="K1005"/>
  <c r="K979"/>
  <c r="K948"/>
  <c r="K1029"/>
  <c r="K1031"/>
  <c r="K1021"/>
  <c r="K999"/>
  <c r="K988"/>
  <c r="K977"/>
  <c r="K951"/>
  <c r="K953"/>
  <c r="K939"/>
  <c r="K940"/>
  <c r="AD913"/>
  <c r="AD880"/>
  <c r="AD876"/>
  <c r="AD878"/>
  <c r="AD889"/>
  <c r="AD890"/>
  <c r="AD891"/>
  <c r="AD865"/>
  <c r="AD915"/>
  <c r="AD917"/>
  <c r="AD907"/>
  <c r="AD885"/>
  <c r="AD874"/>
  <c r="AD863"/>
  <c r="AD837"/>
  <c r="AD839"/>
  <c r="AD826"/>
  <c r="AD834"/>
  <c r="AD825"/>
  <c r="Z913"/>
  <c r="Z880"/>
  <c r="Z876"/>
  <c r="Z878"/>
  <c r="Z889"/>
  <c r="Z890"/>
  <c r="Z891"/>
  <c r="Z865"/>
  <c r="Z915"/>
  <c r="Z917"/>
  <c r="Z907"/>
  <c r="Z885"/>
  <c r="Z874"/>
  <c r="Z863"/>
  <c r="Z837"/>
  <c r="Z839"/>
  <c r="Z826"/>
  <c r="Z834"/>
  <c r="Z825"/>
  <c r="V913"/>
  <c r="V880"/>
  <c r="V876"/>
  <c r="V878"/>
  <c r="V889"/>
  <c r="V890"/>
  <c r="V891"/>
  <c r="V865"/>
  <c r="V915"/>
  <c r="V917"/>
  <c r="V907"/>
  <c r="V885"/>
  <c r="V874"/>
  <c r="V863"/>
  <c r="V837"/>
  <c r="V839"/>
  <c r="V826"/>
  <c r="V834"/>
  <c r="V825"/>
  <c r="R913"/>
  <c r="R880"/>
  <c r="R876"/>
  <c r="R878"/>
  <c r="R889"/>
  <c r="R890"/>
  <c r="R891"/>
  <c r="R865"/>
  <c r="R915"/>
  <c r="R917"/>
  <c r="R907"/>
  <c r="R885"/>
  <c r="R874"/>
  <c r="R863"/>
  <c r="R837"/>
  <c r="R839"/>
  <c r="R826"/>
  <c r="R834"/>
  <c r="R825"/>
  <c r="N913"/>
  <c r="N880"/>
  <c r="N876"/>
  <c r="N878"/>
  <c r="N889"/>
  <c r="N890"/>
  <c r="N891"/>
  <c r="N865"/>
  <c r="N915"/>
  <c r="N917"/>
  <c r="N907"/>
  <c r="N885"/>
  <c r="N874"/>
  <c r="N863"/>
  <c r="N837"/>
  <c r="N839"/>
  <c r="N826"/>
  <c r="N834"/>
  <c r="N825"/>
  <c r="J913"/>
  <c r="J880"/>
  <c r="J876"/>
  <c r="J878"/>
  <c r="J889"/>
  <c r="J890"/>
  <c r="J891"/>
  <c r="J865"/>
  <c r="J915"/>
  <c r="J917"/>
  <c r="J907"/>
  <c r="J885"/>
  <c r="J874"/>
  <c r="J863"/>
  <c r="J837"/>
  <c r="J839"/>
  <c r="J826"/>
  <c r="J834"/>
  <c r="J825"/>
  <c r="AE801"/>
  <c r="AE803"/>
  <c r="AE793"/>
  <c r="AE771"/>
  <c r="AE760"/>
  <c r="AE749"/>
  <c r="AE723"/>
  <c r="AE725"/>
  <c r="AE712"/>
  <c r="AE799"/>
  <c r="AE766"/>
  <c r="AE762"/>
  <c r="AE764"/>
  <c r="AE775"/>
  <c r="AE776"/>
  <c r="AE777"/>
  <c r="AE751"/>
  <c r="AE720"/>
  <c r="AE711"/>
  <c r="AA801"/>
  <c r="AA803"/>
  <c r="AA793"/>
  <c r="AA771"/>
  <c r="AA760"/>
  <c r="AA749"/>
  <c r="AA723"/>
  <c r="AA725"/>
  <c r="AA712"/>
  <c r="AA799"/>
  <c r="AA766"/>
  <c r="AA762"/>
  <c r="AA764"/>
  <c r="AA775"/>
  <c r="AA776"/>
  <c r="AA777"/>
  <c r="AA751"/>
  <c r="AA720"/>
  <c r="AA711"/>
  <c r="W801"/>
  <c r="W803"/>
  <c r="W793"/>
  <c r="W771"/>
  <c r="W760"/>
  <c r="W749"/>
  <c r="W723"/>
  <c r="W725"/>
  <c r="W712"/>
  <c r="W799"/>
  <c r="W766"/>
  <c r="W762"/>
  <c r="W764"/>
  <c r="W775"/>
  <c r="W776"/>
  <c r="W777"/>
  <c r="W751"/>
  <c r="W720"/>
  <c r="W711"/>
  <c r="S801"/>
  <c r="S803"/>
  <c r="S793"/>
  <c r="S771"/>
  <c r="S760"/>
  <c r="S749"/>
  <c r="S723"/>
  <c r="S725"/>
  <c r="S712"/>
  <c r="S799"/>
  <c r="S766"/>
  <c r="S762"/>
  <c r="S764"/>
  <c r="S775"/>
  <c r="S776"/>
  <c r="S777"/>
  <c r="S751"/>
  <c r="S720"/>
  <c r="S711"/>
  <c r="O801"/>
  <c r="O803"/>
  <c r="O793"/>
  <c r="O771"/>
  <c r="O760"/>
  <c r="O749"/>
  <c r="O723"/>
  <c r="O725"/>
  <c r="O712"/>
  <c r="O799"/>
  <c r="O766"/>
  <c r="O762"/>
  <c r="O764"/>
  <c r="O775"/>
  <c r="O776"/>
  <c r="O777"/>
  <c r="O751"/>
  <c r="O720"/>
  <c r="O711"/>
  <c r="K801"/>
  <c r="K803"/>
  <c r="K793"/>
  <c r="K771"/>
  <c r="K760"/>
  <c r="K749"/>
  <c r="K723"/>
  <c r="K725"/>
  <c r="K712"/>
  <c r="K799"/>
  <c r="K766"/>
  <c r="K762"/>
  <c r="K764"/>
  <c r="K775"/>
  <c r="K776"/>
  <c r="K777"/>
  <c r="K751"/>
  <c r="K720"/>
  <c r="K711"/>
  <c r="AD687"/>
  <c r="AD689"/>
  <c r="AD679"/>
  <c r="AD657"/>
  <c r="AD646"/>
  <c r="AD635"/>
  <c r="AD685"/>
  <c r="AD652"/>
  <c r="AD648"/>
  <c r="AD650"/>
  <c r="AD661"/>
  <c r="AD662"/>
  <c r="AD663"/>
  <c r="AD637"/>
  <c r="AD606"/>
  <c r="AD597"/>
  <c r="AD609"/>
  <c r="AD611"/>
  <c r="AD598"/>
  <c r="Z687"/>
  <c r="Z689"/>
  <c r="Z679"/>
  <c r="Z657"/>
  <c r="Z646"/>
  <c r="Z635"/>
  <c r="Z685"/>
  <c r="Z652"/>
  <c r="Z648"/>
  <c r="Z650"/>
  <c r="Z661"/>
  <c r="Z662"/>
  <c r="Z663"/>
  <c r="Z637"/>
  <c r="Z606"/>
  <c r="Z597"/>
  <c r="Z609"/>
  <c r="Z611"/>
  <c r="Z598"/>
  <c r="V687"/>
  <c r="V689"/>
  <c r="V679"/>
  <c r="V657"/>
  <c r="V646"/>
  <c r="V635"/>
  <c r="V685"/>
  <c r="V652"/>
  <c r="V648"/>
  <c r="V650"/>
  <c r="V661"/>
  <c r="V662"/>
  <c r="V663"/>
  <c r="V637"/>
  <c r="V606"/>
  <c r="V597"/>
  <c r="V609"/>
  <c r="V611"/>
  <c r="V598"/>
  <c r="R687"/>
  <c r="R689"/>
  <c r="R679"/>
  <c r="R657"/>
  <c r="R646"/>
  <c r="R635"/>
  <c r="R685"/>
  <c r="R652"/>
  <c r="R648"/>
  <c r="R650"/>
  <c r="R661"/>
  <c r="R662"/>
  <c r="R663"/>
  <c r="R637"/>
  <c r="R606"/>
  <c r="R597"/>
  <c r="R609"/>
  <c r="R611"/>
  <c r="R598"/>
  <c r="N687"/>
  <c r="N689"/>
  <c r="N679"/>
  <c r="N657"/>
  <c r="N646"/>
  <c r="N635"/>
  <c r="N685"/>
  <c r="N652"/>
  <c r="N648"/>
  <c r="N650"/>
  <c r="N661"/>
  <c r="N662"/>
  <c r="N663"/>
  <c r="N637"/>
  <c r="N606"/>
  <c r="N597"/>
  <c r="N609"/>
  <c r="N611"/>
  <c r="N598"/>
  <c r="J687"/>
  <c r="J689"/>
  <c r="J679"/>
  <c r="J657"/>
  <c r="J646"/>
  <c r="J635"/>
  <c r="J685"/>
  <c r="J652"/>
  <c r="J648"/>
  <c r="J650"/>
  <c r="J661"/>
  <c r="J662"/>
  <c r="J663"/>
  <c r="J637"/>
  <c r="J606"/>
  <c r="J597"/>
  <c r="J609"/>
  <c r="J611"/>
  <c r="J598"/>
  <c r="AE571"/>
  <c r="AE538"/>
  <c r="AE534"/>
  <c r="AE536"/>
  <c r="AE547"/>
  <c r="AE548"/>
  <c r="AE549"/>
  <c r="AE523"/>
  <c r="AE492"/>
  <c r="AE483"/>
  <c r="AE573"/>
  <c r="AE575"/>
  <c r="AE565"/>
  <c r="AE543"/>
  <c r="AE532"/>
  <c r="AE521"/>
  <c r="AE495"/>
  <c r="AE497"/>
  <c r="AE484"/>
  <c r="AA571"/>
  <c r="AA538"/>
  <c r="AA534"/>
  <c r="AA536"/>
  <c r="AA547"/>
  <c r="AA548"/>
  <c r="AA549"/>
  <c r="AA523"/>
  <c r="AA492"/>
  <c r="AA483"/>
  <c r="AA573"/>
  <c r="AA575"/>
  <c r="AA565"/>
  <c r="AA543"/>
  <c r="AA532"/>
  <c r="AA521"/>
  <c r="AA495"/>
  <c r="AA497"/>
  <c r="AA484"/>
  <c r="W571"/>
  <c r="W538"/>
  <c r="W534"/>
  <c r="W536"/>
  <c r="W547"/>
  <c r="W548"/>
  <c r="W549"/>
  <c r="W523"/>
  <c r="W492"/>
  <c r="W483"/>
  <c r="W573"/>
  <c r="W575"/>
  <c r="W565"/>
  <c r="W543"/>
  <c r="W532"/>
  <c r="W521"/>
  <c r="W495"/>
  <c r="W497"/>
  <c r="W484"/>
  <c r="S571"/>
  <c r="S538"/>
  <c r="S534"/>
  <c r="S536"/>
  <c r="S547"/>
  <c r="S548"/>
  <c r="S549"/>
  <c r="S523"/>
  <c r="S492"/>
  <c r="S483"/>
  <c r="S573"/>
  <c r="S575"/>
  <c r="S565"/>
  <c r="S543"/>
  <c r="S532"/>
  <c r="S521"/>
  <c r="S495"/>
  <c r="S497"/>
  <c r="S484"/>
  <c r="O571"/>
  <c r="O538"/>
  <c r="O534"/>
  <c r="O536"/>
  <c r="O547"/>
  <c r="O548"/>
  <c r="O549"/>
  <c r="O523"/>
  <c r="O492"/>
  <c r="O483"/>
  <c r="O573"/>
  <c r="O575"/>
  <c r="O565"/>
  <c r="O543"/>
  <c r="O532"/>
  <c r="O521"/>
  <c r="O495"/>
  <c r="O497"/>
  <c r="O484"/>
  <c r="K571"/>
  <c r="K538"/>
  <c r="K534"/>
  <c r="K536"/>
  <c r="K547"/>
  <c r="K548"/>
  <c r="K549"/>
  <c r="K523"/>
  <c r="K492"/>
  <c r="K483"/>
  <c r="K573"/>
  <c r="K575"/>
  <c r="K565"/>
  <c r="K543"/>
  <c r="K532"/>
  <c r="K521"/>
  <c r="K495"/>
  <c r="K497"/>
  <c r="K484"/>
  <c r="AD457"/>
  <c r="AD424"/>
  <c r="AD420"/>
  <c r="AD422"/>
  <c r="AD433"/>
  <c r="AD434"/>
  <c r="AD435"/>
  <c r="AD409"/>
  <c r="AD459"/>
  <c r="AD461"/>
  <c r="AD451"/>
  <c r="AD429"/>
  <c r="AD418"/>
  <c r="AD407"/>
  <c r="AD381"/>
  <c r="AD383"/>
  <c r="AD370"/>
  <c r="AD378"/>
  <c r="AD369"/>
  <c r="Z457"/>
  <c r="Z424"/>
  <c r="Z420"/>
  <c r="Z422"/>
  <c r="Z433"/>
  <c r="Z434"/>
  <c r="Z435"/>
  <c r="Z409"/>
  <c r="Z459"/>
  <c r="Z461"/>
  <c r="Z451"/>
  <c r="Z429"/>
  <c r="Z418"/>
  <c r="Z407"/>
  <c r="Z381"/>
  <c r="Z383"/>
  <c r="Z370"/>
  <c r="Z378"/>
  <c r="Z369"/>
  <c r="V457"/>
  <c r="V424"/>
  <c r="V420"/>
  <c r="V422"/>
  <c r="V433"/>
  <c r="V434"/>
  <c r="V435"/>
  <c r="V409"/>
  <c r="V459"/>
  <c r="V461"/>
  <c r="V451"/>
  <c r="V429"/>
  <c r="V418"/>
  <c r="V407"/>
  <c r="V381"/>
  <c r="V383"/>
  <c r="V370"/>
  <c r="V378"/>
  <c r="V369"/>
  <c r="R457"/>
  <c r="R424"/>
  <c r="R420"/>
  <c r="R422"/>
  <c r="R433"/>
  <c r="R434"/>
  <c r="R435"/>
  <c r="R409"/>
  <c r="R459"/>
  <c r="R461"/>
  <c r="R451"/>
  <c r="R429"/>
  <c r="R418"/>
  <c r="R407"/>
  <c r="R381"/>
  <c r="R383"/>
  <c r="R370"/>
  <c r="R378"/>
  <c r="R369"/>
  <c r="N457"/>
  <c r="N424"/>
  <c r="N420"/>
  <c r="N422"/>
  <c r="N433"/>
  <c r="N434"/>
  <c r="N435"/>
  <c r="N409"/>
  <c r="N459"/>
  <c r="N461"/>
  <c r="N451"/>
  <c r="N429"/>
  <c r="N418"/>
  <c r="N407"/>
  <c r="N381"/>
  <c r="N383"/>
  <c r="N370"/>
  <c r="N378"/>
  <c r="N369"/>
  <c r="J457"/>
  <c r="J424"/>
  <c r="J420"/>
  <c r="J422"/>
  <c r="J433"/>
  <c r="J434"/>
  <c r="J435"/>
  <c r="J409"/>
  <c r="J459"/>
  <c r="J461"/>
  <c r="J451"/>
  <c r="J429"/>
  <c r="J418"/>
  <c r="J407"/>
  <c r="J381"/>
  <c r="J383"/>
  <c r="J370"/>
  <c r="J378"/>
  <c r="J369"/>
  <c r="AE345"/>
  <c r="AE347"/>
  <c r="AE337"/>
  <c r="AE315"/>
  <c r="AE304"/>
  <c r="AE293"/>
  <c r="AE267"/>
  <c r="AE269"/>
  <c r="AE256"/>
  <c r="AE343"/>
  <c r="AE310"/>
  <c r="AE306"/>
  <c r="AE308"/>
  <c r="AE319"/>
  <c r="AE320"/>
  <c r="AE321"/>
  <c r="AE295"/>
  <c r="AE264"/>
  <c r="AE255"/>
  <c r="AA345"/>
  <c r="AA347"/>
  <c r="AA337"/>
  <c r="AA315"/>
  <c r="AA304"/>
  <c r="AA293"/>
  <c r="AA267"/>
  <c r="AA269"/>
  <c r="AA256"/>
  <c r="AA343"/>
  <c r="AA310"/>
  <c r="AA306"/>
  <c r="AA308"/>
  <c r="AA319"/>
  <c r="AA320"/>
  <c r="AA321"/>
  <c r="AA295"/>
  <c r="AA264"/>
  <c r="AA255"/>
  <c r="W345"/>
  <c r="W347"/>
  <c r="W337"/>
  <c r="W315"/>
  <c r="W304"/>
  <c r="W293"/>
  <c r="W267"/>
  <c r="W269"/>
  <c r="W256"/>
  <c r="W343"/>
  <c r="W310"/>
  <c r="W306"/>
  <c r="W308"/>
  <c r="W319"/>
  <c r="W320"/>
  <c r="W321"/>
  <c r="W295"/>
  <c r="W264"/>
  <c r="W255"/>
  <c r="S345"/>
  <c r="S347"/>
  <c r="S337"/>
  <c r="S315"/>
  <c r="S304"/>
  <c r="S293"/>
  <c r="S267"/>
  <c r="S269"/>
  <c r="S256"/>
  <c r="S343"/>
  <c r="S310"/>
  <c r="S306"/>
  <c r="S308"/>
  <c r="S319"/>
  <c r="S320"/>
  <c r="S321"/>
  <c r="S295"/>
  <c r="S264"/>
  <c r="S255"/>
  <c r="O345"/>
  <c r="O347"/>
  <c r="O337"/>
  <c r="O315"/>
  <c r="O304"/>
  <c r="O293"/>
  <c r="O267"/>
  <c r="O269"/>
  <c r="O256"/>
  <c r="O343"/>
  <c r="O310"/>
  <c r="O306"/>
  <c r="O308"/>
  <c r="O319"/>
  <c r="O320"/>
  <c r="O321"/>
  <c r="O295"/>
  <c r="O264"/>
  <c r="O255"/>
  <c r="K345"/>
  <c r="K347"/>
  <c r="K337"/>
  <c r="K315"/>
  <c r="K304"/>
  <c r="K293"/>
  <c r="K267"/>
  <c r="K269"/>
  <c r="K256"/>
  <c r="K343"/>
  <c r="K310"/>
  <c r="K306"/>
  <c r="K308"/>
  <c r="K319"/>
  <c r="K320"/>
  <c r="K321"/>
  <c r="K295"/>
  <c r="K264"/>
  <c r="K255"/>
  <c r="AD231"/>
  <c r="AD233"/>
  <c r="AD223"/>
  <c r="AD201"/>
  <c r="AD190"/>
  <c r="AD177"/>
  <c r="AD146"/>
  <c r="AD148"/>
  <c r="AD129"/>
  <c r="AD229"/>
  <c r="AD196"/>
  <c r="AD192"/>
  <c r="AD194"/>
  <c r="AD205"/>
  <c r="AD206"/>
  <c r="AD207"/>
  <c r="AD179"/>
  <c r="AD143"/>
  <c r="AD127"/>
  <c r="Z231"/>
  <c r="Z233"/>
  <c r="Z223"/>
  <c r="Z201"/>
  <c r="Z190"/>
  <c r="Z177"/>
  <c r="Z146"/>
  <c r="Z148"/>
  <c r="Z129"/>
  <c r="Z229"/>
  <c r="Z196"/>
  <c r="Z192"/>
  <c r="Z194"/>
  <c r="Z205"/>
  <c r="Z206"/>
  <c r="Z207"/>
  <c r="Z179"/>
  <c r="Z143"/>
  <c r="Z127"/>
  <c r="V231"/>
  <c r="V233"/>
  <c r="V223"/>
  <c r="V201"/>
  <c r="V190"/>
  <c r="V177"/>
  <c r="V146"/>
  <c r="V148"/>
  <c r="V129"/>
  <c r="V229"/>
  <c r="V196"/>
  <c r="V192"/>
  <c r="V194"/>
  <c r="V205"/>
  <c r="V206"/>
  <c r="V207"/>
  <c r="V179"/>
  <c r="V143"/>
  <c r="V127"/>
  <c r="R231"/>
  <c r="R233"/>
  <c r="R223"/>
  <c r="R201"/>
  <c r="R190"/>
  <c r="R177"/>
  <c r="R146"/>
  <c r="R148"/>
  <c r="R129"/>
  <c r="R229"/>
  <c r="R196"/>
  <c r="R192"/>
  <c r="R194"/>
  <c r="R205"/>
  <c r="R206"/>
  <c r="R207"/>
  <c r="R179"/>
  <c r="R143"/>
  <c r="R127"/>
  <c r="N231"/>
  <c r="N233"/>
  <c r="N223"/>
  <c r="N201"/>
  <c r="N190"/>
  <c r="N177"/>
  <c r="N146"/>
  <c r="N148"/>
  <c r="N129"/>
  <c r="N229"/>
  <c r="N196"/>
  <c r="N192"/>
  <c r="N194"/>
  <c r="N205"/>
  <c r="N206"/>
  <c r="N207"/>
  <c r="N179"/>
  <c r="N143"/>
  <c r="N127"/>
  <c r="J231"/>
  <c r="J233"/>
  <c r="J223"/>
  <c r="J201"/>
  <c r="J190"/>
  <c r="J177"/>
  <c r="J146"/>
  <c r="J148"/>
  <c r="J129"/>
  <c r="J229"/>
  <c r="J196"/>
  <c r="J192"/>
  <c r="J194"/>
  <c r="J205"/>
  <c r="J206"/>
  <c r="J207"/>
  <c r="J179"/>
  <c r="J143"/>
  <c r="J127"/>
  <c r="AE1069"/>
  <c r="AE1071"/>
  <c r="AE1072"/>
  <c r="AE1073"/>
  <c r="G62"/>
  <c r="G60"/>
  <c r="G58"/>
  <c r="G56"/>
  <c r="G54"/>
  <c r="G473"/>
  <c r="G513"/>
  <c r="G557"/>
  <c r="G627"/>
  <c r="G671"/>
  <c r="G815"/>
  <c r="G929"/>
  <c r="G969"/>
  <c r="G1013"/>
  <c r="G1157"/>
  <c r="AD357"/>
  <c r="Z357"/>
  <c r="V357"/>
  <c r="R357"/>
  <c r="N357"/>
  <c r="J357"/>
  <c r="G329"/>
  <c r="AC327"/>
  <c r="Y327"/>
  <c r="U327"/>
  <c r="Q327"/>
  <c r="M327"/>
  <c r="I327"/>
  <c r="G299"/>
  <c r="G285"/>
  <c r="G245"/>
  <c r="K441"/>
  <c r="O441"/>
  <c r="S441"/>
  <c r="W441"/>
  <c r="AA441"/>
  <c r="AE441"/>
  <c r="J471"/>
  <c r="N471"/>
  <c r="R471"/>
  <c r="V471"/>
  <c r="Z471"/>
  <c r="AD471"/>
  <c r="H555"/>
  <c r="L555"/>
  <c r="P555"/>
  <c r="T555"/>
  <c r="X555"/>
  <c r="AB555"/>
  <c r="I585"/>
  <c r="M585"/>
  <c r="Q585"/>
  <c r="U585"/>
  <c r="Y585"/>
  <c r="AC585"/>
  <c r="J441"/>
  <c r="N441"/>
  <c r="R441"/>
  <c r="V441"/>
  <c r="Z441"/>
  <c r="AD441"/>
  <c r="K471"/>
  <c r="O471"/>
  <c r="S471"/>
  <c r="W471"/>
  <c r="AA471"/>
  <c r="AE471"/>
  <c r="G527"/>
  <c r="I555"/>
  <c r="M555"/>
  <c r="Q555"/>
  <c r="U555"/>
  <c r="Y555"/>
  <c r="AC555"/>
  <c r="H585"/>
  <c r="L585"/>
  <c r="P585"/>
  <c r="T585"/>
  <c r="X585"/>
  <c r="AB585"/>
  <c r="J669"/>
  <c r="N669"/>
  <c r="R669"/>
  <c r="V669"/>
  <c r="Z669"/>
  <c r="AD669"/>
  <c r="K699"/>
  <c r="O699"/>
  <c r="S699"/>
  <c r="W699"/>
  <c r="AA699"/>
  <c r="AE699"/>
  <c r="I783"/>
  <c r="M783"/>
  <c r="Q783"/>
  <c r="U783"/>
  <c r="Y783"/>
  <c r="AC783"/>
  <c r="H813"/>
  <c r="L813"/>
  <c r="P813"/>
  <c r="T813"/>
  <c r="X813"/>
  <c r="AB813"/>
  <c r="K669"/>
  <c r="O669"/>
  <c r="S669"/>
  <c r="W669"/>
  <c r="AA669"/>
  <c r="AE669"/>
  <c r="J699"/>
  <c r="N699"/>
  <c r="R699"/>
  <c r="V699"/>
  <c r="Z699"/>
  <c r="AD699"/>
  <c r="H783"/>
  <c r="L783"/>
  <c r="P783"/>
  <c r="T783"/>
  <c r="X783"/>
  <c r="AB783"/>
  <c r="G795"/>
  <c r="I813"/>
  <c r="M813"/>
  <c r="Q813"/>
  <c r="U813"/>
  <c r="Y813"/>
  <c r="AC813"/>
  <c r="K897"/>
  <c r="O897"/>
  <c r="S897"/>
  <c r="W897"/>
  <c r="AA897"/>
  <c r="AE897"/>
  <c r="J927"/>
  <c r="N927"/>
  <c r="R927"/>
  <c r="V927"/>
  <c r="Z927"/>
  <c r="AD927"/>
  <c r="H897"/>
  <c r="L897"/>
  <c r="P897"/>
  <c r="T897"/>
  <c r="X897"/>
  <c r="AB897"/>
  <c r="G909"/>
  <c r="I927"/>
  <c r="M927"/>
  <c r="Q927"/>
  <c r="U927"/>
  <c r="Y927"/>
  <c r="AC927"/>
  <c r="J1011"/>
  <c r="N1011"/>
  <c r="R1011"/>
  <c r="V1011"/>
  <c r="Z1011"/>
  <c r="AD1011"/>
  <c r="K1041"/>
  <c r="O1041"/>
  <c r="S1041"/>
  <c r="W1041"/>
  <c r="AA1041"/>
  <c r="AE1041"/>
  <c r="G983"/>
  <c r="I1011"/>
  <c r="M1011"/>
  <c r="Q1011"/>
  <c r="U1011"/>
  <c r="Y1011"/>
  <c r="AC1011"/>
  <c r="H1041"/>
  <c r="L1041"/>
  <c r="P1041"/>
  <c r="T1041"/>
  <c r="X1041"/>
  <c r="AB1041"/>
  <c r="K1125"/>
  <c r="O1125"/>
  <c r="S1125"/>
  <c r="W1125"/>
  <c r="AA1125"/>
  <c r="AE1125"/>
  <c r="J1155"/>
  <c r="N1155"/>
  <c r="R1155"/>
  <c r="V1155"/>
  <c r="Z1155"/>
  <c r="AD1155"/>
  <c r="H1125"/>
  <c r="L1125"/>
  <c r="P1125"/>
  <c r="T1125"/>
  <c r="X1125"/>
  <c r="AB1125"/>
  <c r="G1137"/>
  <c r="I1155"/>
  <c r="M1155"/>
  <c r="Q1155"/>
  <c r="U1155"/>
  <c r="Y1155"/>
  <c r="AC1155"/>
  <c r="J158"/>
  <c r="N158"/>
  <c r="R158"/>
  <c r="V158"/>
  <c r="Z158"/>
  <c r="AD158"/>
  <c r="H211"/>
  <c r="L211"/>
  <c r="P211"/>
  <c r="T211"/>
  <c r="X211"/>
  <c r="AB211"/>
  <c r="I158"/>
  <c r="M158"/>
  <c r="Q158"/>
  <c r="U158"/>
  <c r="Y158"/>
  <c r="AC158"/>
  <c r="K211"/>
  <c r="O211"/>
  <c r="S211"/>
  <c r="W211"/>
  <c r="AA211"/>
  <c r="AE1117"/>
  <c r="AE1118"/>
  <c r="AE1119"/>
  <c r="AE1121"/>
  <c r="H142" i="2"/>
  <c r="O21" i="3"/>
  <c r="M21"/>
  <c r="K16"/>
  <c r="N21"/>
  <c r="L21"/>
  <c r="L16"/>
  <c r="J11"/>
  <c r="O23"/>
  <c r="M23"/>
  <c r="K18"/>
  <c r="N23"/>
  <c r="L23"/>
  <c r="L18"/>
  <c r="J13"/>
  <c r="O22"/>
  <c r="M22"/>
  <c r="K17"/>
  <c r="N22"/>
  <c r="L22"/>
  <c r="L17"/>
  <c r="J12"/>
  <c r="J88"/>
  <c r="J87"/>
  <c r="J86"/>
  <c r="K6"/>
  <c r="K7"/>
  <c r="K8"/>
  <c r="N96"/>
  <c r="H88"/>
  <c r="H93"/>
  <c r="H87"/>
  <c r="H92"/>
  <c r="H86"/>
  <c r="H91"/>
  <c r="P88"/>
  <c r="P87"/>
  <c r="P86"/>
  <c r="H79"/>
  <c r="I61"/>
  <c r="P6"/>
  <c r="L11"/>
  <c r="P7"/>
  <c r="N12"/>
  <c r="P8"/>
  <c r="L13"/>
  <c r="M11"/>
  <c r="M12"/>
  <c r="K13"/>
  <c r="M13"/>
  <c r="O13"/>
  <c r="O16"/>
  <c r="M17"/>
  <c r="M18"/>
  <c r="I62"/>
  <c r="I63"/>
  <c r="I64"/>
  <c r="I65"/>
  <c r="I66"/>
  <c r="I67"/>
  <c r="I68"/>
  <c r="I69"/>
  <c r="I70"/>
  <c r="I71"/>
  <c r="I72"/>
  <c r="I73"/>
  <c r="I74"/>
  <c r="I75"/>
  <c r="I76"/>
  <c r="I77"/>
  <c r="I78"/>
  <c r="F98"/>
  <c r="F110"/>
  <c r="Q78"/>
  <c r="G98"/>
  <c r="G110"/>
  <c r="Q77"/>
  <c r="J98"/>
  <c r="J110"/>
  <c r="Q74"/>
  <c r="E62"/>
  <c r="E64"/>
  <c r="E66"/>
  <c r="E68"/>
  <c r="E71"/>
  <c r="E73"/>
  <c r="E75"/>
  <c r="E77"/>
  <c r="M86"/>
  <c r="M87"/>
  <c r="M88"/>
  <c r="O88"/>
  <c r="E91"/>
  <c r="K91"/>
  <c r="O91"/>
  <c r="E93"/>
  <c r="K93"/>
  <c r="G96"/>
  <c r="I96"/>
  <c r="M96"/>
  <c r="G97"/>
  <c r="G109"/>
  <c r="M77"/>
  <c r="I97"/>
  <c r="I109"/>
  <c r="M75"/>
  <c r="M97"/>
  <c r="M109"/>
  <c r="M71"/>
  <c r="E61"/>
  <c r="E63"/>
  <c r="E65"/>
  <c r="E67"/>
  <c r="E69"/>
  <c r="E70"/>
  <c r="E72"/>
  <c r="E74"/>
  <c r="E76"/>
  <c r="E78"/>
  <c r="F86"/>
  <c r="F91"/>
  <c r="D87"/>
  <c r="C87"/>
  <c r="F87"/>
  <c r="F92"/>
  <c r="L87"/>
  <c r="L92"/>
  <c r="O92"/>
  <c r="J96"/>
  <c r="L96"/>
  <c r="F97"/>
  <c r="F109"/>
  <c r="M78"/>
  <c r="L97"/>
  <c r="L109"/>
  <c r="M72"/>
  <c r="K437" i="4"/>
  <c r="S437"/>
  <c r="AA437"/>
  <c r="J551"/>
  <c r="R551"/>
  <c r="K893"/>
  <c r="Z551"/>
  <c r="S893"/>
  <c r="N1007"/>
  <c r="P209"/>
  <c r="X209"/>
  <c r="I323"/>
  <c r="Q323"/>
  <c r="Y323"/>
  <c r="P665"/>
  <c r="X665"/>
  <c r="I779"/>
  <c r="Q779"/>
  <c r="Y779"/>
  <c r="AA893"/>
  <c r="R1007"/>
  <c r="Z1007"/>
  <c r="K1121"/>
  <c r="S1121"/>
  <c r="AA1121"/>
  <c r="I1007"/>
  <c r="Q1007"/>
  <c r="J209"/>
  <c r="R209"/>
  <c r="Z209"/>
  <c r="K323"/>
  <c r="S323"/>
  <c r="J665"/>
  <c r="R665"/>
  <c r="Z665"/>
  <c r="K779"/>
  <c r="S779"/>
  <c r="O1007"/>
  <c r="W1007"/>
  <c r="AE1007"/>
  <c r="J1121"/>
  <c r="R1121"/>
  <c r="Z1121"/>
  <c r="P1121"/>
  <c r="Y1007"/>
  <c r="AA779"/>
  <c r="AA323"/>
  <c r="M437"/>
  <c r="U437"/>
  <c r="AC437"/>
  <c r="P551"/>
  <c r="X551"/>
  <c r="M893"/>
  <c r="U893"/>
  <c r="AC893"/>
  <c r="L1007"/>
  <c r="X1007"/>
  <c r="I1121"/>
  <c r="Q1121"/>
  <c r="Y1121"/>
  <c r="G327"/>
  <c r="X1121"/>
  <c r="J237"/>
  <c r="J238"/>
  <c r="J239"/>
  <c r="J235"/>
  <c r="N150"/>
  <c r="N152"/>
  <c r="N153"/>
  <c r="N154"/>
  <c r="R237"/>
  <c r="R238"/>
  <c r="R239"/>
  <c r="R235"/>
  <c r="V150"/>
  <c r="V152"/>
  <c r="V153"/>
  <c r="V154"/>
  <c r="Z237"/>
  <c r="Z238"/>
  <c r="Z239"/>
  <c r="Z235"/>
  <c r="AD150"/>
  <c r="AD152"/>
  <c r="AD153"/>
  <c r="AD154"/>
  <c r="K351"/>
  <c r="K352"/>
  <c r="K353"/>
  <c r="K349"/>
  <c r="O271"/>
  <c r="O273"/>
  <c r="O274"/>
  <c r="O275"/>
  <c r="S351"/>
  <c r="S352"/>
  <c r="S353"/>
  <c r="S349"/>
  <c r="W271"/>
  <c r="W273"/>
  <c r="W274"/>
  <c r="W275"/>
  <c r="AA351"/>
  <c r="AA352"/>
  <c r="AA353"/>
  <c r="AA349"/>
  <c r="AE271"/>
  <c r="AE273"/>
  <c r="AE274"/>
  <c r="AE275"/>
  <c r="J463"/>
  <c r="J465"/>
  <c r="J466"/>
  <c r="J467"/>
  <c r="N387"/>
  <c r="N388"/>
  <c r="N389"/>
  <c r="N385"/>
  <c r="R463"/>
  <c r="R465"/>
  <c r="R466"/>
  <c r="R467"/>
  <c r="V387"/>
  <c r="V388"/>
  <c r="V389"/>
  <c r="V385"/>
  <c r="Z463"/>
  <c r="Z465"/>
  <c r="Z466"/>
  <c r="Z467"/>
  <c r="AD387"/>
  <c r="AD388"/>
  <c r="AD389"/>
  <c r="AD385"/>
  <c r="K577"/>
  <c r="K579"/>
  <c r="K580"/>
  <c r="K581"/>
  <c r="O501"/>
  <c r="O502"/>
  <c r="O503"/>
  <c r="O499"/>
  <c r="S577"/>
  <c r="S579"/>
  <c r="S580"/>
  <c r="S581"/>
  <c r="W501"/>
  <c r="W502"/>
  <c r="W503"/>
  <c r="W499"/>
  <c r="AA577"/>
  <c r="AA579"/>
  <c r="AA580"/>
  <c r="AA581"/>
  <c r="AE501"/>
  <c r="AE502"/>
  <c r="AE503"/>
  <c r="AE499"/>
  <c r="J693"/>
  <c r="J694"/>
  <c r="J695"/>
  <c r="J691"/>
  <c r="N613"/>
  <c r="N615"/>
  <c r="N616"/>
  <c r="N617"/>
  <c r="R693"/>
  <c r="R694"/>
  <c r="R695"/>
  <c r="R691"/>
  <c r="V613"/>
  <c r="V615"/>
  <c r="V616"/>
  <c r="V617"/>
  <c r="Z693"/>
  <c r="Z694"/>
  <c r="Z695"/>
  <c r="Z691"/>
  <c r="AD613"/>
  <c r="AD615"/>
  <c r="AD616"/>
  <c r="AD617"/>
  <c r="K807"/>
  <c r="K808"/>
  <c r="K809"/>
  <c r="K805"/>
  <c r="O727"/>
  <c r="O729"/>
  <c r="O730"/>
  <c r="O731"/>
  <c r="S807"/>
  <c r="S808"/>
  <c r="S809"/>
  <c r="S805"/>
  <c r="W727"/>
  <c r="W729"/>
  <c r="W730"/>
  <c r="W731"/>
  <c r="AA807"/>
  <c r="AA808"/>
  <c r="AA809"/>
  <c r="AA805"/>
  <c r="AE727"/>
  <c r="AE729"/>
  <c r="AE730"/>
  <c r="AE731"/>
  <c r="J919"/>
  <c r="J921"/>
  <c r="J922"/>
  <c r="J923"/>
  <c r="N843"/>
  <c r="N844"/>
  <c r="N845"/>
  <c r="N841"/>
  <c r="R919"/>
  <c r="R921"/>
  <c r="R922"/>
  <c r="R923"/>
  <c r="V843"/>
  <c r="V844"/>
  <c r="V845"/>
  <c r="V841"/>
  <c r="Z919"/>
  <c r="Z921"/>
  <c r="Z922"/>
  <c r="Z923"/>
  <c r="AD843"/>
  <c r="AD844"/>
  <c r="AD845"/>
  <c r="AD841"/>
  <c r="K957"/>
  <c r="K958"/>
  <c r="K959"/>
  <c r="K955"/>
  <c r="O1033"/>
  <c r="O1035"/>
  <c r="O1036"/>
  <c r="O1037"/>
  <c r="S957"/>
  <c r="S958"/>
  <c r="S959"/>
  <c r="S955"/>
  <c r="W1033"/>
  <c r="W1035"/>
  <c r="W1036"/>
  <c r="W1037"/>
  <c r="AA957"/>
  <c r="AA958"/>
  <c r="AA959"/>
  <c r="AA955"/>
  <c r="AE1033"/>
  <c r="AE1035"/>
  <c r="AE1036"/>
  <c r="AE1037"/>
  <c r="J1071"/>
  <c r="J1072"/>
  <c r="J1073"/>
  <c r="J1069"/>
  <c r="N1147"/>
  <c r="N1149"/>
  <c r="N1150"/>
  <c r="N1151"/>
  <c r="R1071"/>
  <c r="R1072"/>
  <c r="R1073"/>
  <c r="R1069"/>
  <c r="V1147"/>
  <c r="V1149"/>
  <c r="V1150"/>
  <c r="V1151"/>
  <c r="AD1071"/>
  <c r="AD1072"/>
  <c r="AD1073"/>
  <c r="AD1069"/>
  <c r="AD1147"/>
  <c r="AD1149"/>
  <c r="AD1150"/>
  <c r="AD1151"/>
  <c r="I235"/>
  <c r="I237"/>
  <c r="I238"/>
  <c r="I239"/>
  <c r="M152"/>
  <c r="M153"/>
  <c r="M154"/>
  <c r="M150"/>
  <c r="Q235"/>
  <c r="Q237"/>
  <c r="Q238"/>
  <c r="Q239"/>
  <c r="U152"/>
  <c r="U153"/>
  <c r="U154"/>
  <c r="U150"/>
  <c r="Y235"/>
  <c r="Y237"/>
  <c r="Y238"/>
  <c r="Y239"/>
  <c r="AC152"/>
  <c r="AC153"/>
  <c r="AC154"/>
  <c r="AC150"/>
  <c r="H269"/>
  <c r="G267"/>
  <c r="L349"/>
  <c r="L351"/>
  <c r="L352"/>
  <c r="L353"/>
  <c r="P273"/>
  <c r="P274"/>
  <c r="P275"/>
  <c r="P271"/>
  <c r="T349"/>
  <c r="T351"/>
  <c r="T352"/>
  <c r="T353"/>
  <c r="X273"/>
  <c r="X274"/>
  <c r="X275"/>
  <c r="X271"/>
  <c r="AB349"/>
  <c r="AB351"/>
  <c r="AB352"/>
  <c r="AB353"/>
  <c r="I387"/>
  <c r="I388"/>
  <c r="I389"/>
  <c r="I385"/>
  <c r="M465"/>
  <c r="M466"/>
  <c r="M467"/>
  <c r="M463"/>
  <c r="Q387"/>
  <c r="Q388"/>
  <c r="Q389"/>
  <c r="Q385"/>
  <c r="U465"/>
  <c r="U466"/>
  <c r="U467"/>
  <c r="U463"/>
  <c r="Y385"/>
  <c r="Y387"/>
  <c r="Y388"/>
  <c r="Y389"/>
  <c r="AC465"/>
  <c r="AC466"/>
  <c r="AC467"/>
  <c r="AC463"/>
  <c r="H575"/>
  <c r="G573"/>
  <c r="L499"/>
  <c r="L501"/>
  <c r="L502"/>
  <c r="L503"/>
  <c r="P579"/>
  <c r="P580"/>
  <c r="P581"/>
  <c r="P577"/>
  <c r="T499"/>
  <c r="T501"/>
  <c r="T502"/>
  <c r="T503"/>
  <c r="X579"/>
  <c r="X580"/>
  <c r="X581"/>
  <c r="X577"/>
  <c r="AB499"/>
  <c r="AB501"/>
  <c r="AB502"/>
  <c r="AB503"/>
  <c r="I691"/>
  <c r="I693"/>
  <c r="I694"/>
  <c r="I695"/>
  <c r="M615"/>
  <c r="M616"/>
  <c r="M617"/>
  <c r="M613"/>
  <c r="Q691"/>
  <c r="Q693"/>
  <c r="Q694"/>
  <c r="Q695"/>
  <c r="U615"/>
  <c r="U616"/>
  <c r="U617"/>
  <c r="U613"/>
  <c r="Y691"/>
  <c r="Y693"/>
  <c r="Y694"/>
  <c r="Y695"/>
  <c r="AC615"/>
  <c r="AC616"/>
  <c r="AC617"/>
  <c r="AC613"/>
  <c r="H725"/>
  <c r="G723"/>
  <c r="L805"/>
  <c r="L807"/>
  <c r="L808"/>
  <c r="L809"/>
  <c r="P729"/>
  <c r="P730"/>
  <c r="P731"/>
  <c r="P727"/>
  <c r="T805"/>
  <c r="T807"/>
  <c r="T808"/>
  <c r="T809"/>
  <c r="X729"/>
  <c r="X730"/>
  <c r="X731"/>
  <c r="X727"/>
  <c r="AB805"/>
  <c r="AB807"/>
  <c r="AB808"/>
  <c r="AB809"/>
  <c r="I841"/>
  <c r="I843"/>
  <c r="I844"/>
  <c r="I845"/>
  <c r="M921"/>
  <c r="M922"/>
  <c r="M923"/>
  <c r="M919"/>
  <c r="Q841"/>
  <c r="Q843"/>
  <c r="Q844"/>
  <c r="Q845"/>
  <c r="U921"/>
  <c r="U922"/>
  <c r="U923"/>
  <c r="U919"/>
  <c r="Y841"/>
  <c r="Y843"/>
  <c r="Y844"/>
  <c r="Y845"/>
  <c r="AC921"/>
  <c r="AC922"/>
  <c r="AC923"/>
  <c r="AC919"/>
  <c r="H992"/>
  <c r="G990"/>
  <c r="H1031"/>
  <c r="G1029"/>
  <c r="L955"/>
  <c r="L957"/>
  <c r="L958"/>
  <c r="L959"/>
  <c r="P1035"/>
  <c r="P1036"/>
  <c r="P1037"/>
  <c r="P1033"/>
  <c r="T955"/>
  <c r="T957"/>
  <c r="T958"/>
  <c r="T959"/>
  <c r="X1035"/>
  <c r="X1036"/>
  <c r="X1037"/>
  <c r="X1033"/>
  <c r="AB955"/>
  <c r="AB957"/>
  <c r="AB958"/>
  <c r="AB959"/>
  <c r="I1069"/>
  <c r="I1071"/>
  <c r="I1072"/>
  <c r="I1073"/>
  <c r="I1149"/>
  <c r="I1150"/>
  <c r="I1151"/>
  <c r="I1147"/>
  <c r="Q1069"/>
  <c r="Q1071"/>
  <c r="Q1072"/>
  <c r="Q1073"/>
  <c r="Q1149"/>
  <c r="Q1150"/>
  <c r="Q1151"/>
  <c r="Q1147"/>
  <c r="Y1069"/>
  <c r="Y1071"/>
  <c r="Y1072"/>
  <c r="Y1073"/>
  <c r="Y1149"/>
  <c r="Y1150"/>
  <c r="Y1151"/>
  <c r="Y1147"/>
  <c r="AC1069"/>
  <c r="AC1071"/>
  <c r="AC1072"/>
  <c r="AC1073"/>
  <c r="H194"/>
  <c r="G192"/>
  <c r="H233"/>
  <c r="G231"/>
  <c r="L150"/>
  <c r="L152"/>
  <c r="L153"/>
  <c r="L154"/>
  <c r="P237"/>
  <c r="P238"/>
  <c r="P239"/>
  <c r="P235"/>
  <c r="T150"/>
  <c r="T152"/>
  <c r="T153"/>
  <c r="T154"/>
  <c r="X237"/>
  <c r="X238"/>
  <c r="X239"/>
  <c r="X235"/>
  <c r="AB150"/>
  <c r="AB152"/>
  <c r="AB153"/>
  <c r="AB154"/>
  <c r="I351"/>
  <c r="I352"/>
  <c r="I353"/>
  <c r="I349"/>
  <c r="M271"/>
  <c r="M273"/>
  <c r="M274"/>
  <c r="M275"/>
  <c r="Q351"/>
  <c r="Q352"/>
  <c r="Q353"/>
  <c r="Q349"/>
  <c r="U271"/>
  <c r="U273"/>
  <c r="U274"/>
  <c r="U275"/>
  <c r="Y351"/>
  <c r="Y352"/>
  <c r="Y353"/>
  <c r="Y349"/>
  <c r="AC271"/>
  <c r="AC273"/>
  <c r="AC274"/>
  <c r="AC275"/>
  <c r="H383"/>
  <c r="G381"/>
  <c r="L463"/>
  <c r="L465"/>
  <c r="L466"/>
  <c r="L467"/>
  <c r="P387"/>
  <c r="P388"/>
  <c r="P389"/>
  <c r="P385"/>
  <c r="T463"/>
  <c r="T465"/>
  <c r="T466"/>
  <c r="T467"/>
  <c r="X387"/>
  <c r="X388"/>
  <c r="X389"/>
  <c r="X385"/>
  <c r="AB463"/>
  <c r="AB465"/>
  <c r="AB466"/>
  <c r="AB467"/>
  <c r="I501"/>
  <c r="I502"/>
  <c r="I503"/>
  <c r="I499"/>
  <c r="M577"/>
  <c r="M579"/>
  <c r="M580"/>
  <c r="M581"/>
  <c r="Q501"/>
  <c r="Q502"/>
  <c r="Q503"/>
  <c r="Q499"/>
  <c r="U577"/>
  <c r="U579"/>
  <c r="U580"/>
  <c r="U581"/>
  <c r="Y501"/>
  <c r="Y502"/>
  <c r="Y503"/>
  <c r="Y499"/>
  <c r="AC577"/>
  <c r="AC579"/>
  <c r="AC580"/>
  <c r="AC581"/>
  <c r="H689"/>
  <c r="G687"/>
  <c r="L613"/>
  <c r="L615"/>
  <c r="L616"/>
  <c r="L617"/>
  <c r="P693"/>
  <c r="P694"/>
  <c r="P695"/>
  <c r="P691"/>
  <c r="T613"/>
  <c r="T615"/>
  <c r="T616"/>
  <c r="T617"/>
  <c r="X693"/>
  <c r="X694"/>
  <c r="X695"/>
  <c r="X691"/>
  <c r="AB613"/>
  <c r="AB615"/>
  <c r="AB616"/>
  <c r="AB617"/>
  <c r="I807"/>
  <c r="I808"/>
  <c r="I809"/>
  <c r="I805"/>
  <c r="M727"/>
  <c r="M729"/>
  <c r="M730"/>
  <c r="M731"/>
  <c r="Q807"/>
  <c r="Q808"/>
  <c r="Q809"/>
  <c r="Q805"/>
  <c r="U727"/>
  <c r="U729"/>
  <c r="U730"/>
  <c r="U731"/>
  <c r="Y807"/>
  <c r="Y808"/>
  <c r="Y809"/>
  <c r="Y805"/>
  <c r="AC727"/>
  <c r="AC729"/>
  <c r="AC730"/>
  <c r="AC731"/>
  <c r="G837"/>
  <c r="H839"/>
  <c r="L919"/>
  <c r="L921"/>
  <c r="L922"/>
  <c r="L923"/>
  <c r="P843"/>
  <c r="P844"/>
  <c r="P845"/>
  <c r="P841"/>
  <c r="T919"/>
  <c r="T921"/>
  <c r="T922"/>
  <c r="T923"/>
  <c r="X843"/>
  <c r="X844"/>
  <c r="X845"/>
  <c r="X841"/>
  <c r="AB919"/>
  <c r="AB921"/>
  <c r="AB922"/>
  <c r="AB923"/>
  <c r="I1033"/>
  <c r="I1035"/>
  <c r="I1036"/>
  <c r="I1037"/>
  <c r="M957"/>
  <c r="M958"/>
  <c r="M959"/>
  <c r="M955"/>
  <c r="Q1033"/>
  <c r="Q1035"/>
  <c r="Q1036"/>
  <c r="Q1037"/>
  <c r="U957"/>
  <c r="U958"/>
  <c r="U959"/>
  <c r="U955"/>
  <c r="Y1033"/>
  <c r="Y1035"/>
  <c r="Y1036"/>
  <c r="Y1037"/>
  <c r="AC957"/>
  <c r="AC958"/>
  <c r="AC959"/>
  <c r="AC955"/>
  <c r="H1067"/>
  <c r="G1065"/>
  <c r="L1147"/>
  <c r="L1149"/>
  <c r="L1150"/>
  <c r="L1151"/>
  <c r="P1071"/>
  <c r="P1072"/>
  <c r="P1073"/>
  <c r="P1069"/>
  <c r="T1147"/>
  <c r="T1149"/>
  <c r="T1150"/>
  <c r="T1151"/>
  <c r="X1071"/>
  <c r="X1072"/>
  <c r="X1073"/>
  <c r="X1069"/>
  <c r="AB1071"/>
  <c r="AB1072"/>
  <c r="AB1073"/>
  <c r="AB1069"/>
  <c r="AB1147"/>
  <c r="AB1149"/>
  <c r="AB1150"/>
  <c r="AB1151"/>
  <c r="K235"/>
  <c r="K237"/>
  <c r="K238"/>
  <c r="K239"/>
  <c r="O152"/>
  <c r="O153"/>
  <c r="O154"/>
  <c r="O150"/>
  <c r="S235"/>
  <c r="S237"/>
  <c r="S238"/>
  <c r="S239"/>
  <c r="W152"/>
  <c r="W153"/>
  <c r="W154"/>
  <c r="W150"/>
  <c r="AA235"/>
  <c r="AA237"/>
  <c r="AA238"/>
  <c r="AA239"/>
  <c r="AE152"/>
  <c r="AE153"/>
  <c r="AE154"/>
  <c r="AE150"/>
  <c r="J349"/>
  <c r="J351"/>
  <c r="J352"/>
  <c r="J353"/>
  <c r="N273"/>
  <c r="N274"/>
  <c r="N275"/>
  <c r="N271"/>
  <c r="R349"/>
  <c r="R351"/>
  <c r="R352"/>
  <c r="R353"/>
  <c r="V273"/>
  <c r="V274"/>
  <c r="V275"/>
  <c r="V271"/>
  <c r="Z349"/>
  <c r="Z351"/>
  <c r="Z352"/>
  <c r="Z353"/>
  <c r="AD273"/>
  <c r="AD274"/>
  <c r="AD275"/>
  <c r="AD271"/>
  <c r="K465"/>
  <c r="K466"/>
  <c r="K467"/>
  <c r="K463"/>
  <c r="O387"/>
  <c r="O388"/>
  <c r="O389"/>
  <c r="O385"/>
  <c r="S465"/>
  <c r="S466"/>
  <c r="S467"/>
  <c r="S463"/>
  <c r="W385"/>
  <c r="W387"/>
  <c r="W388"/>
  <c r="W389"/>
  <c r="AA465"/>
  <c r="AA466"/>
  <c r="AA467"/>
  <c r="AA463"/>
  <c r="AE385"/>
  <c r="AE387"/>
  <c r="AE388"/>
  <c r="AE389"/>
  <c r="J579"/>
  <c r="J580"/>
  <c r="J581"/>
  <c r="J577"/>
  <c r="N499"/>
  <c r="N501"/>
  <c r="N502"/>
  <c r="N503"/>
  <c r="R579"/>
  <c r="R580"/>
  <c r="R581"/>
  <c r="R577"/>
  <c r="V499"/>
  <c r="V501"/>
  <c r="V502"/>
  <c r="V503"/>
  <c r="Z579"/>
  <c r="Z580"/>
  <c r="Z581"/>
  <c r="Z577"/>
  <c r="AD499"/>
  <c r="AD501"/>
  <c r="AD502"/>
  <c r="AD503"/>
  <c r="K691"/>
  <c r="K693"/>
  <c r="K694"/>
  <c r="K695"/>
  <c r="O615"/>
  <c r="O616"/>
  <c r="O617"/>
  <c r="O613"/>
  <c r="S691"/>
  <c r="S693"/>
  <c r="S694"/>
  <c r="S695"/>
  <c r="W615"/>
  <c r="W616"/>
  <c r="W617"/>
  <c r="W613"/>
  <c r="AA691"/>
  <c r="AA693"/>
  <c r="AA694"/>
  <c r="AA695"/>
  <c r="AE615"/>
  <c r="AE616"/>
  <c r="AE617"/>
  <c r="AE613"/>
  <c r="J805"/>
  <c r="J807"/>
  <c r="J808"/>
  <c r="J809"/>
  <c r="N729"/>
  <c r="N730"/>
  <c r="N731"/>
  <c r="N727"/>
  <c r="R805"/>
  <c r="R807"/>
  <c r="R808"/>
  <c r="R809"/>
  <c r="V729"/>
  <c r="V730"/>
  <c r="V731"/>
  <c r="V727"/>
  <c r="Z805"/>
  <c r="Z807"/>
  <c r="Z808"/>
  <c r="Z809"/>
  <c r="AD729"/>
  <c r="AD730"/>
  <c r="AD731"/>
  <c r="AD727"/>
  <c r="K841"/>
  <c r="K843"/>
  <c r="K844"/>
  <c r="K845"/>
  <c r="K921"/>
  <c r="K922"/>
  <c r="K923"/>
  <c r="K919"/>
  <c r="S841"/>
  <c r="S843"/>
  <c r="S844"/>
  <c r="S845"/>
  <c r="S921"/>
  <c r="S922"/>
  <c r="S923"/>
  <c r="S919"/>
  <c r="AA841"/>
  <c r="AA843"/>
  <c r="AA844"/>
  <c r="AA845"/>
  <c r="AA921"/>
  <c r="AA922"/>
  <c r="AA923"/>
  <c r="AA919"/>
  <c r="J1035"/>
  <c r="J1036"/>
  <c r="J1037"/>
  <c r="J1033"/>
  <c r="N955"/>
  <c r="N957"/>
  <c r="N958"/>
  <c r="N959"/>
  <c r="R1035"/>
  <c r="R1036"/>
  <c r="R1037"/>
  <c r="R1033"/>
  <c r="V955"/>
  <c r="V957"/>
  <c r="V958"/>
  <c r="V959"/>
  <c r="Z1035"/>
  <c r="Z1036"/>
  <c r="Z1037"/>
  <c r="Z1033"/>
  <c r="AD955"/>
  <c r="AD957"/>
  <c r="AD958"/>
  <c r="AD959"/>
  <c r="K1069"/>
  <c r="K1071"/>
  <c r="K1072"/>
  <c r="K1073"/>
  <c r="K1149"/>
  <c r="K1150"/>
  <c r="K1151"/>
  <c r="K1147"/>
  <c r="S1069"/>
  <c r="S1071"/>
  <c r="S1072"/>
  <c r="S1073"/>
  <c r="S1149"/>
  <c r="S1150"/>
  <c r="S1151"/>
  <c r="S1147"/>
  <c r="AA1069"/>
  <c r="AA1071"/>
  <c r="AA1072"/>
  <c r="AA1073"/>
  <c r="AA1149"/>
  <c r="AA1150"/>
  <c r="AA1151"/>
  <c r="AA1147"/>
  <c r="G1125"/>
  <c r="G1041"/>
  <c r="G897"/>
  <c r="G555"/>
  <c r="AE1075"/>
  <c r="N209"/>
  <c r="V209"/>
  <c r="AD209"/>
  <c r="O323"/>
  <c r="W323"/>
  <c r="AE323"/>
  <c r="J437"/>
  <c r="R437"/>
  <c r="Z437"/>
  <c r="K551"/>
  <c r="S551"/>
  <c r="AA551"/>
  <c r="N665"/>
  <c r="V665"/>
  <c r="AD665"/>
  <c r="O779"/>
  <c r="W779"/>
  <c r="AE779"/>
  <c r="J893"/>
  <c r="R893"/>
  <c r="Z893"/>
  <c r="K1007"/>
  <c r="S1007"/>
  <c r="AA1007"/>
  <c r="N1121"/>
  <c r="V1121"/>
  <c r="I209"/>
  <c r="Q209"/>
  <c r="Y209"/>
  <c r="G304"/>
  <c r="G337"/>
  <c r="G340"/>
  <c r="G255"/>
  <c r="G310"/>
  <c r="L323"/>
  <c r="T323"/>
  <c r="AB323"/>
  <c r="I437"/>
  <c r="Q437"/>
  <c r="Y437"/>
  <c r="G483"/>
  <c r="G538"/>
  <c r="G484"/>
  <c r="G521"/>
  <c r="L551"/>
  <c r="T551"/>
  <c r="AB551"/>
  <c r="I665"/>
  <c r="Q665"/>
  <c r="Y665"/>
  <c r="G760"/>
  <c r="G793"/>
  <c r="G796"/>
  <c r="G711"/>
  <c r="G766"/>
  <c r="L779"/>
  <c r="T779"/>
  <c r="AB779"/>
  <c r="I893"/>
  <c r="Q893"/>
  <c r="Y893"/>
  <c r="G939"/>
  <c r="G948"/>
  <c r="G1027"/>
  <c r="G977"/>
  <c r="P1007"/>
  <c r="T1007"/>
  <c r="AB1007"/>
  <c r="M1121"/>
  <c r="U1121"/>
  <c r="AC1121"/>
  <c r="G699"/>
  <c r="G669"/>
  <c r="AE1153"/>
  <c r="G143"/>
  <c r="G229"/>
  <c r="G129"/>
  <c r="G132"/>
  <c r="G177"/>
  <c r="L209"/>
  <c r="T209"/>
  <c r="AB209"/>
  <c r="M323"/>
  <c r="U323"/>
  <c r="AC323"/>
  <c r="G369"/>
  <c r="G418"/>
  <c r="G451"/>
  <c r="G454"/>
  <c r="G424"/>
  <c r="L437"/>
  <c r="T437"/>
  <c r="AB437"/>
  <c r="M551"/>
  <c r="U551"/>
  <c r="AC551"/>
  <c r="G598"/>
  <c r="G597"/>
  <c r="G652"/>
  <c r="G635"/>
  <c r="L665"/>
  <c r="T665"/>
  <c r="AB665"/>
  <c r="M779"/>
  <c r="U779"/>
  <c r="AC779"/>
  <c r="G826"/>
  <c r="G874"/>
  <c r="G907"/>
  <c r="G910"/>
  <c r="G880"/>
  <c r="L893"/>
  <c r="T893"/>
  <c r="AB893"/>
  <c r="M1007"/>
  <c r="U1007"/>
  <c r="AC1007"/>
  <c r="G1053"/>
  <c r="G1102"/>
  <c r="G1108"/>
  <c r="G1135"/>
  <c r="G1138"/>
  <c r="G1141"/>
  <c r="L1121"/>
  <c r="T1121"/>
  <c r="AB1121"/>
  <c r="K209"/>
  <c r="S209"/>
  <c r="AA209"/>
  <c r="J323"/>
  <c r="R323"/>
  <c r="Z323"/>
  <c r="O437"/>
  <c r="W437"/>
  <c r="AE437"/>
  <c r="N551"/>
  <c r="V551"/>
  <c r="AD551"/>
  <c r="K665"/>
  <c r="S665"/>
  <c r="AA665"/>
  <c r="J779"/>
  <c r="R779"/>
  <c r="Z779"/>
  <c r="O893"/>
  <c r="W893"/>
  <c r="AE893"/>
  <c r="J1007"/>
  <c r="V1007"/>
  <c r="AD1007"/>
  <c r="O1121"/>
  <c r="W1121"/>
  <c r="J150"/>
  <c r="J152"/>
  <c r="J153"/>
  <c r="J154"/>
  <c r="N237"/>
  <c r="N238"/>
  <c r="N239"/>
  <c r="N235"/>
  <c r="R150"/>
  <c r="R152"/>
  <c r="R153"/>
  <c r="R154"/>
  <c r="V237"/>
  <c r="V238"/>
  <c r="V239"/>
  <c r="V235"/>
  <c r="Z150"/>
  <c r="Z152"/>
  <c r="Z153"/>
  <c r="Z154"/>
  <c r="AD237"/>
  <c r="AD238"/>
  <c r="AD239"/>
  <c r="AD235"/>
  <c r="K271"/>
  <c r="K273"/>
  <c r="K274"/>
  <c r="K275"/>
  <c r="O351"/>
  <c r="O352"/>
  <c r="O353"/>
  <c r="O349"/>
  <c r="S271"/>
  <c r="S273"/>
  <c r="S274"/>
  <c r="S275"/>
  <c r="W351"/>
  <c r="W352"/>
  <c r="W353"/>
  <c r="W349"/>
  <c r="AA271"/>
  <c r="AA273"/>
  <c r="AA274"/>
  <c r="AA275"/>
  <c r="AE351"/>
  <c r="AE352"/>
  <c r="AE353"/>
  <c r="AE349"/>
  <c r="J387"/>
  <c r="J388"/>
  <c r="J389"/>
  <c r="J385"/>
  <c r="N463"/>
  <c r="N465"/>
  <c r="N466"/>
  <c r="N467"/>
  <c r="R387"/>
  <c r="R388"/>
  <c r="R389"/>
  <c r="R385"/>
  <c r="V463"/>
  <c r="V465"/>
  <c r="V466"/>
  <c r="V467"/>
  <c r="Z387"/>
  <c r="Z388"/>
  <c r="Z389"/>
  <c r="Z385"/>
  <c r="AD463"/>
  <c r="AD465"/>
  <c r="AD466"/>
  <c r="AD467"/>
  <c r="K501"/>
  <c r="K502"/>
  <c r="K503"/>
  <c r="K499"/>
  <c r="O577"/>
  <c r="O579"/>
  <c r="O580"/>
  <c r="O581"/>
  <c r="S501"/>
  <c r="S502"/>
  <c r="S503"/>
  <c r="S499"/>
  <c r="W577"/>
  <c r="W579"/>
  <c r="W580"/>
  <c r="W581"/>
  <c r="AA501"/>
  <c r="AA502"/>
  <c r="AA503"/>
  <c r="AA499"/>
  <c r="AE577"/>
  <c r="AE579"/>
  <c r="AE580"/>
  <c r="AE581"/>
  <c r="J613"/>
  <c r="J615"/>
  <c r="J616"/>
  <c r="J617"/>
  <c r="N693"/>
  <c r="N694"/>
  <c r="N695"/>
  <c r="N691"/>
  <c r="R613"/>
  <c r="R615"/>
  <c r="R616"/>
  <c r="R617"/>
  <c r="V693"/>
  <c r="V694"/>
  <c r="V695"/>
  <c r="V691"/>
  <c r="Z613"/>
  <c r="Z615"/>
  <c r="Z616"/>
  <c r="Z617"/>
  <c r="AD693"/>
  <c r="AD694"/>
  <c r="AD695"/>
  <c r="AD691"/>
  <c r="K727"/>
  <c r="K729"/>
  <c r="K730"/>
  <c r="K731"/>
  <c r="O807"/>
  <c r="O808"/>
  <c r="O809"/>
  <c r="O805"/>
  <c r="S727"/>
  <c r="S729"/>
  <c r="S730"/>
  <c r="S731"/>
  <c r="W807"/>
  <c r="W808"/>
  <c r="W809"/>
  <c r="W805"/>
  <c r="AA727"/>
  <c r="AA729"/>
  <c r="AA730"/>
  <c r="AA731"/>
  <c r="AE807"/>
  <c r="AE808"/>
  <c r="AE809"/>
  <c r="AE805"/>
  <c r="J843"/>
  <c r="J844"/>
  <c r="J845"/>
  <c r="J841"/>
  <c r="N919"/>
  <c r="N921"/>
  <c r="N922"/>
  <c r="N923"/>
  <c r="R843"/>
  <c r="R844"/>
  <c r="R845"/>
  <c r="R841"/>
  <c r="V919"/>
  <c r="V921"/>
  <c r="V922"/>
  <c r="V923"/>
  <c r="Z843"/>
  <c r="Z844"/>
  <c r="Z845"/>
  <c r="Z841"/>
  <c r="AD919"/>
  <c r="AD921"/>
  <c r="AD922"/>
  <c r="AD923"/>
  <c r="K1033"/>
  <c r="K1035"/>
  <c r="K1036"/>
  <c r="K1037"/>
  <c r="O957"/>
  <c r="O958"/>
  <c r="O959"/>
  <c r="O955"/>
  <c r="S1033"/>
  <c r="S1035"/>
  <c r="S1036"/>
  <c r="S1037"/>
  <c r="W957"/>
  <c r="W958"/>
  <c r="W959"/>
  <c r="W955"/>
  <c r="AA1033"/>
  <c r="AA1035"/>
  <c r="AA1036"/>
  <c r="AA1037"/>
  <c r="AE957"/>
  <c r="AE958"/>
  <c r="AE959"/>
  <c r="AE955"/>
  <c r="J1147"/>
  <c r="J1149"/>
  <c r="J1150"/>
  <c r="J1151"/>
  <c r="N1071"/>
  <c r="N1072"/>
  <c r="N1073"/>
  <c r="N1069"/>
  <c r="R1147"/>
  <c r="R1149"/>
  <c r="R1150"/>
  <c r="R1151"/>
  <c r="V1071"/>
  <c r="V1072"/>
  <c r="V1073"/>
  <c r="V1069"/>
  <c r="Z1071"/>
  <c r="Z1072"/>
  <c r="Z1073"/>
  <c r="Z1069"/>
  <c r="Z1147"/>
  <c r="Z1149"/>
  <c r="Z1150"/>
  <c r="Z1151"/>
  <c r="I152"/>
  <c r="I153"/>
  <c r="I154"/>
  <c r="I150"/>
  <c r="M235"/>
  <c r="M237"/>
  <c r="M238"/>
  <c r="M239"/>
  <c r="Q152"/>
  <c r="Q153"/>
  <c r="Q154"/>
  <c r="Q150"/>
  <c r="U235"/>
  <c r="U237"/>
  <c r="U238"/>
  <c r="U239"/>
  <c r="Y152"/>
  <c r="Y153"/>
  <c r="Y154"/>
  <c r="Y150"/>
  <c r="AC235"/>
  <c r="AC237"/>
  <c r="AC238"/>
  <c r="AC239"/>
  <c r="H347"/>
  <c r="G345"/>
  <c r="H308"/>
  <c r="G306"/>
  <c r="L273"/>
  <c r="L274"/>
  <c r="L275"/>
  <c r="L271"/>
  <c r="P349"/>
  <c r="P351"/>
  <c r="P352"/>
  <c r="P353"/>
  <c r="T273"/>
  <c r="T274"/>
  <c r="T275"/>
  <c r="T271"/>
  <c r="X349"/>
  <c r="X351"/>
  <c r="X352"/>
  <c r="X353"/>
  <c r="AB273"/>
  <c r="AB274"/>
  <c r="AB275"/>
  <c r="AB271"/>
  <c r="I465"/>
  <c r="I466"/>
  <c r="I467"/>
  <c r="I463"/>
  <c r="M387"/>
  <c r="M388"/>
  <c r="M389"/>
  <c r="M385"/>
  <c r="Q465"/>
  <c r="Q466"/>
  <c r="Q467"/>
  <c r="Q463"/>
  <c r="U387"/>
  <c r="U388"/>
  <c r="U389"/>
  <c r="U385"/>
  <c r="Y465"/>
  <c r="Y466"/>
  <c r="Y467"/>
  <c r="Y463"/>
  <c r="AC385"/>
  <c r="AC387"/>
  <c r="AC388"/>
  <c r="AC389"/>
  <c r="H536"/>
  <c r="G534"/>
  <c r="H497"/>
  <c r="G495"/>
  <c r="L579"/>
  <c r="L580"/>
  <c r="L581"/>
  <c r="L577"/>
  <c r="P499"/>
  <c r="P501"/>
  <c r="P502"/>
  <c r="P503"/>
  <c r="T579"/>
  <c r="T580"/>
  <c r="T581"/>
  <c r="T577"/>
  <c r="X499"/>
  <c r="X501"/>
  <c r="X502"/>
  <c r="X503"/>
  <c r="AB579"/>
  <c r="AB580"/>
  <c r="AB581"/>
  <c r="AB577"/>
  <c r="I615"/>
  <c r="I616"/>
  <c r="I617"/>
  <c r="I613"/>
  <c r="M691"/>
  <c r="M693"/>
  <c r="M694"/>
  <c r="M695"/>
  <c r="Q615"/>
  <c r="Q616"/>
  <c r="Q617"/>
  <c r="Q613"/>
  <c r="U691"/>
  <c r="U693"/>
  <c r="U694"/>
  <c r="U695"/>
  <c r="Y615"/>
  <c r="Y616"/>
  <c r="Y617"/>
  <c r="Y613"/>
  <c r="AC691"/>
  <c r="AC693"/>
  <c r="AC694"/>
  <c r="AC695"/>
  <c r="H803"/>
  <c r="G801"/>
  <c r="H764"/>
  <c r="G762"/>
  <c r="L729"/>
  <c r="L730"/>
  <c r="L731"/>
  <c r="L727"/>
  <c r="P805"/>
  <c r="P807"/>
  <c r="P808"/>
  <c r="P809"/>
  <c r="T729"/>
  <c r="T730"/>
  <c r="T731"/>
  <c r="T727"/>
  <c r="X805"/>
  <c r="X807"/>
  <c r="X808"/>
  <c r="X809"/>
  <c r="AB729"/>
  <c r="AB730"/>
  <c r="AB731"/>
  <c r="AB727"/>
  <c r="I921"/>
  <c r="I922"/>
  <c r="I923"/>
  <c r="I919"/>
  <c r="M841"/>
  <c r="M843"/>
  <c r="M844"/>
  <c r="M845"/>
  <c r="Q921"/>
  <c r="Q922"/>
  <c r="Q923"/>
  <c r="Q919"/>
  <c r="U841"/>
  <c r="U843"/>
  <c r="U844"/>
  <c r="U845"/>
  <c r="Y921"/>
  <c r="Y922"/>
  <c r="Y923"/>
  <c r="Y919"/>
  <c r="AC841"/>
  <c r="AC843"/>
  <c r="AC844"/>
  <c r="AC845"/>
  <c r="H953"/>
  <c r="G951"/>
  <c r="L1035"/>
  <c r="L1036"/>
  <c r="L1037"/>
  <c r="L1033"/>
  <c r="P955"/>
  <c r="P957"/>
  <c r="P958"/>
  <c r="P959"/>
  <c r="T1035"/>
  <c r="T1036"/>
  <c r="T1037"/>
  <c r="T1033"/>
  <c r="X955"/>
  <c r="X957"/>
  <c r="X958"/>
  <c r="X959"/>
  <c r="AB1035"/>
  <c r="AB1036"/>
  <c r="AB1037"/>
  <c r="AB1033"/>
  <c r="M1069"/>
  <c r="M1071"/>
  <c r="M1072"/>
  <c r="M1073"/>
  <c r="M1149"/>
  <c r="M1150"/>
  <c r="M1151"/>
  <c r="M1147"/>
  <c r="U1069"/>
  <c r="U1071"/>
  <c r="U1072"/>
  <c r="U1073"/>
  <c r="U1149"/>
  <c r="U1150"/>
  <c r="U1151"/>
  <c r="U1147"/>
  <c r="AC1149"/>
  <c r="AC1150"/>
  <c r="AC1151"/>
  <c r="AC1147"/>
  <c r="H148"/>
  <c r="G146"/>
  <c r="L237"/>
  <c r="L238"/>
  <c r="L239"/>
  <c r="L235"/>
  <c r="P150"/>
  <c r="P152"/>
  <c r="P153"/>
  <c r="P154"/>
  <c r="T237"/>
  <c r="T238"/>
  <c r="T239"/>
  <c r="T235"/>
  <c r="X150"/>
  <c r="X152"/>
  <c r="X153"/>
  <c r="X154"/>
  <c r="AB237"/>
  <c r="AB238"/>
  <c r="AB239"/>
  <c r="AB235"/>
  <c r="I271"/>
  <c r="I273"/>
  <c r="I274"/>
  <c r="I275"/>
  <c r="M351"/>
  <c r="M352"/>
  <c r="M353"/>
  <c r="M349"/>
  <c r="Q271"/>
  <c r="Q273"/>
  <c r="Q274"/>
  <c r="Q275"/>
  <c r="U351"/>
  <c r="U352"/>
  <c r="U353"/>
  <c r="U349"/>
  <c r="Y271"/>
  <c r="Y273"/>
  <c r="Y274"/>
  <c r="Y275"/>
  <c r="AC351"/>
  <c r="AC352"/>
  <c r="AC353"/>
  <c r="AC349"/>
  <c r="H461"/>
  <c r="G459"/>
  <c r="H422"/>
  <c r="G420"/>
  <c r="L387"/>
  <c r="L388"/>
  <c r="L389"/>
  <c r="L385"/>
  <c r="P463"/>
  <c r="P465"/>
  <c r="P466"/>
  <c r="P467"/>
  <c r="T387"/>
  <c r="T388"/>
  <c r="T389"/>
  <c r="T385"/>
  <c r="X463"/>
  <c r="X465"/>
  <c r="X466"/>
  <c r="X467"/>
  <c r="AB387"/>
  <c r="AB388"/>
  <c r="AB389"/>
  <c r="AB385"/>
  <c r="I577"/>
  <c r="I579"/>
  <c r="I580"/>
  <c r="I581"/>
  <c r="M501"/>
  <c r="M502"/>
  <c r="M503"/>
  <c r="M499"/>
  <c r="Q577"/>
  <c r="Q579"/>
  <c r="Q580"/>
  <c r="Q581"/>
  <c r="U501"/>
  <c r="U502"/>
  <c r="U503"/>
  <c r="U499"/>
  <c r="Y577"/>
  <c r="Y579"/>
  <c r="Y580"/>
  <c r="Y581"/>
  <c r="AC501"/>
  <c r="AC502"/>
  <c r="AC503"/>
  <c r="AC499"/>
  <c r="H611"/>
  <c r="G609"/>
  <c r="H650"/>
  <c r="G648"/>
  <c r="L693"/>
  <c r="L694"/>
  <c r="L695"/>
  <c r="L691"/>
  <c r="P613"/>
  <c r="P615"/>
  <c r="P616"/>
  <c r="P617"/>
  <c r="T693"/>
  <c r="T694"/>
  <c r="T695"/>
  <c r="T691"/>
  <c r="X613"/>
  <c r="X615"/>
  <c r="X616"/>
  <c r="X617"/>
  <c r="AB693"/>
  <c r="AB694"/>
  <c r="AB695"/>
  <c r="AB691"/>
  <c r="I727"/>
  <c r="I729"/>
  <c r="I730"/>
  <c r="I731"/>
  <c r="M807"/>
  <c r="M808"/>
  <c r="M809"/>
  <c r="M805"/>
  <c r="Q727"/>
  <c r="Q729"/>
  <c r="Q730"/>
  <c r="Q731"/>
  <c r="U807"/>
  <c r="U808"/>
  <c r="U809"/>
  <c r="U805"/>
  <c r="Y727"/>
  <c r="Y729"/>
  <c r="Y730"/>
  <c r="Y731"/>
  <c r="AC807"/>
  <c r="AC808"/>
  <c r="AC809"/>
  <c r="AC805"/>
  <c r="H917"/>
  <c r="G915"/>
  <c r="H878"/>
  <c r="G876"/>
  <c r="L843"/>
  <c r="L844"/>
  <c r="L845"/>
  <c r="L841"/>
  <c r="P919"/>
  <c r="P921"/>
  <c r="P922"/>
  <c r="P923"/>
  <c r="T843"/>
  <c r="T844"/>
  <c r="T845"/>
  <c r="T841"/>
  <c r="X919"/>
  <c r="X921"/>
  <c r="X922"/>
  <c r="X923"/>
  <c r="AB843"/>
  <c r="AB844"/>
  <c r="AB845"/>
  <c r="AB841"/>
  <c r="I957"/>
  <c r="I958"/>
  <c r="I959"/>
  <c r="I955"/>
  <c r="M1033"/>
  <c r="M1035"/>
  <c r="M1036"/>
  <c r="M1037"/>
  <c r="Q957"/>
  <c r="Q958"/>
  <c r="Q959"/>
  <c r="Q955"/>
  <c r="U1033"/>
  <c r="U1035"/>
  <c r="U1036"/>
  <c r="U1037"/>
  <c r="Y957"/>
  <c r="Y958"/>
  <c r="Y959"/>
  <c r="Y955"/>
  <c r="AC1033"/>
  <c r="AC1035"/>
  <c r="AC1036"/>
  <c r="AC1037"/>
  <c r="H1106"/>
  <c r="G1104"/>
  <c r="H1145"/>
  <c r="G1143"/>
  <c r="L1071"/>
  <c r="L1072"/>
  <c r="L1073"/>
  <c r="L1069"/>
  <c r="P1147"/>
  <c r="P1149"/>
  <c r="P1150"/>
  <c r="P1151"/>
  <c r="T1071"/>
  <c r="T1072"/>
  <c r="T1073"/>
  <c r="T1069"/>
  <c r="X1147"/>
  <c r="X1149"/>
  <c r="X1150"/>
  <c r="X1151"/>
  <c r="K152"/>
  <c r="K153"/>
  <c r="K154"/>
  <c r="K150"/>
  <c r="O235"/>
  <c r="O237"/>
  <c r="O238"/>
  <c r="O239"/>
  <c r="S152"/>
  <c r="S153"/>
  <c r="S154"/>
  <c r="S150"/>
  <c r="W235"/>
  <c r="W237"/>
  <c r="W238"/>
  <c r="W239"/>
  <c r="AA152"/>
  <c r="AA153"/>
  <c r="AA154"/>
  <c r="AA150"/>
  <c r="AE235"/>
  <c r="AE237"/>
  <c r="AE238"/>
  <c r="AE239"/>
  <c r="J273"/>
  <c r="J274"/>
  <c r="J275"/>
  <c r="J271"/>
  <c r="N349"/>
  <c r="N351"/>
  <c r="N352"/>
  <c r="N353"/>
  <c r="R273"/>
  <c r="R274"/>
  <c r="R275"/>
  <c r="R271"/>
  <c r="V349"/>
  <c r="V351"/>
  <c r="V352"/>
  <c r="V353"/>
  <c r="Z273"/>
  <c r="Z274"/>
  <c r="Z275"/>
  <c r="Z271"/>
  <c r="AD349"/>
  <c r="AD351"/>
  <c r="AD352"/>
  <c r="AD353"/>
  <c r="K387"/>
  <c r="K388"/>
  <c r="K389"/>
  <c r="K385"/>
  <c r="O465"/>
  <c r="O466"/>
  <c r="O467"/>
  <c r="O463"/>
  <c r="S387"/>
  <c r="S388"/>
  <c r="S389"/>
  <c r="S385"/>
  <c r="W465"/>
  <c r="W466"/>
  <c r="W467"/>
  <c r="W463"/>
  <c r="AA385"/>
  <c r="AA387"/>
  <c r="AA388"/>
  <c r="AA389"/>
  <c r="AE465"/>
  <c r="AE466"/>
  <c r="AE467"/>
  <c r="AE463"/>
  <c r="J499"/>
  <c r="J501"/>
  <c r="J502"/>
  <c r="J503"/>
  <c r="N579"/>
  <c r="N580"/>
  <c r="N581"/>
  <c r="N577"/>
  <c r="R499"/>
  <c r="R501"/>
  <c r="R502"/>
  <c r="R503"/>
  <c r="V579"/>
  <c r="V580"/>
  <c r="V581"/>
  <c r="V577"/>
  <c r="Z499"/>
  <c r="Z501"/>
  <c r="Z502"/>
  <c r="Z503"/>
  <c r="AD579"/>
  <c r="AD580"/>
  <c r="AD581"/>
  <c r="AD577"/>
  <c r="K615"/>
  <c r="K616"/>
  <c r="K617"/>
  <c r="K613"/>
  <c r="O691"/>
  <c r="O693"/>
  <c r="O694"/>
  <c r="O695"/>
  <c r="S615"/>
  <c r="S616"/>
  <c r="S617"/>
  <c r="S613"/>
  <c r="W691"/>
  <c r="W693"/>
  <c r="W694"/>
  <c r="W695"/>
  <c r="AA615"/>
  <c r="AA616"/>
  <c r="AA617"/>
  <c r="AA613"/>
  <c r="AE691"/>
  <c r="AE693"/>
  <c r="AE694"/>
  <c r="AE695"/>
  <c r="J729"/>
  <c r="J730"/>
  <c r="J731"/>
  <c r="J727"/>
  <c r="N805"/>
  <c r="N807"/>
  <c r="N808"/>
  <c r="N809"/>
  <c r="R729"/>
  <c r="R730"/>
  <c r="R731"/>
  <c r="R727"/>
  <c r="V805"/>
  <c r="V807"/>
  <c r="V808"/>
  <c r="V809"/>
  <c r="Z729"/>
  <c r="Z730"/>
  <c r="Z731"/>
  <c r="Z727"/>
  <c r="AD805"/>
  <c r="AD807"/>
  <c r="AD808"/>
  <c r="AD809"/>
  <c r="O841"/>
  <c r="O843"/>
  <c r="O844"/>
  <c r="O845"/>
  <c r="O921"/>
  <c r="O922"/>
  <c r="O923"/>
  <c r="O919"/>
  <c r="W841"/>
  <c r="W843"/>
  <c r="W844"/>
  <c r="W845"/>
  <c r="W921"/>
  <c r="W922"/>
  <c r="W923"/>
  <c r="W919"/>
  <c r="AE841"/>
  <c r="AE843"/>
  <c r="AE844"/>
  <c r="AE845"/>
  <c r="AE921"/>
  <c r="AE922"/>
  <c r="AE923"/>
  <c r="AE919"/>
  <c r="J955"/>
  <c r="J957"/>
  <c r="J958"/>
  <c r="J959"/>
  <c r="N1035"/>
  <c r="N1036"/>
  <c r="N1037"/>
  <c r="N1033"/>
  <c r="R955"/>
  <c r="R957"/>
  <c r="R958"/>
  <c r="R959"/>
  <c r="V1035"/>
  <c r="V1036"/>
  <c r="V1037"/>
  <c r="V1033"/>
  <c r="Z955"/>
  <c r="Z957"/>
  <c r="Z958"/>
  <c r="Z959"/>
  <c r="AD1035"/>
  <c r="AD1036"/>
  <c r="AD1037"/>
  <c r="AD1033"/>
  <c r="O1069"/>
  <c r="O1071"/>
  <c r="O1072"/>
  <c r="O1073"/>
  <c r="O1149"/>
  <c r="O1150"/>
  <c r="O1151"/>
  <c r="O1147"/>
  <c r="W1069"/>
  <c r="W1071"/>
  <c r="W1072"/>
  <c r="W1073"/>
  <c r="W1149"/>
  <c r="W1150"/>
  <c r="W1151"/>
  <c r="W1147"/>
  <c r="G211"/>
  <c r="G783"/>
  <c r="G813"/>
  <c r="G585"/>
  <c r="N437"/>
  <c r="V437"/>
  <c r="AD437"/>
  <c r="O551"/>
  <c r="W551"/>
  <c r="AE551"/>
  <c r="N893"/>
  <c r="V893"/>
  <c r="AD893"/>
  <c r="AD1121"/>
  <c r="M209"/>
  <c r="U209"/>
  <c r="AC209"/>
  <c r="G256"/>
  <c r="G293"/>
  <c r="G264"/>
  <c r="G343"/>
  <c r="P323"/>
  <c r="X323"/>
  <c r="G492"/>
  <c r="G571"/>
  <c r="G532"/>
  <c r="G565"/>
  <c r="G568"/>
  <c r="M665"/>
  <c r="U665"/>
  <c r="AC665"/>
  <c r="G712"/>
  <c r="G749"/>
  <c r="G720"/>
  <c r="G799"/>
  <c r="P779"/>
  <c r="X779"/>
  <c r="G940"/>
  <c r="G994"/>
  <c r="G988"/>
  <c r="G1021"/>
  <c r="G1024"/>
  <c r="G158"/>
  <c r="G1155"/>
  <c r="G1011"/>
  <c r="G927"/>
  <c r="G441"/>
  <c r="G471"/>
  <c r="G127"/>
  <c r="G196"/>
  <c r="G190"/>
  <c r="G223"/>
  <c r="G226"/>
  <c r="G378"/>
  <c r="G370"/>
  <c r="G407"/>
  <c r="G457"/>
  <c r="P437"/>
  <c r="X437"/>
  <c r="I551"/>
  <c r="Q551"/>
  <c r="Y551"/>
  <c r="G606"/>
  <c r="G685"/>
  <c r="G646"/>
  <c r="G679"/>
  <c r="G682"/>
  <c r="G825"/>
  <c r="G834"/>
  <c r="G863"/>
  <c r="G913"/>
  <c r="P893"/>
  <c r="X893"/>
  <c r="G1054"/>
  <c r="G1091"/>
  <c r="G1062"/>
  <c r="O209"/>
  <c r="W209"/>
  <c r="AE209"/>
  <c r="N323"/>
  <c r="V323"/>
  <c r="AD323"/>
  <c r="O665"/>
  <c r="W665"/>
  <c r="AE665"/>
  <c r="N779"/>
  <c r="V779"/>
  <c r="AD779"/>
  <c r="P76" i="3"/>
  <c r="L76"/>
  <c r="F76"/>
  <c r="P69"/>
  <c r="L69"/>
  <c r="F69"/>
  <c r="P61"/>
  <c r="R61"/>
  <c r="L61"/>
  <c r="F61"/>
  <c r="J61"/>
  <c r="N98"/>
  <c r="N110"/>
  <c r="Q70"/>
  <c r="M98"/>
  <c r="M110"/>
  <c r="Q71"/>
  <c r="O93"/>
  <c r="M92"/>
  <c r="K97"/>
  <c r="K109"/>
  <c r="M73"/>
  <c r="L77"/>
  <c r="F77"/>
  <c r="P77"/>
  <c r="R77"/>
  <c r="L73"/>
  <c r="F73"/>
  <c r="P73"/>
  <c r="P68"/>
  <c r="L68"/>
  <c r="F68"/>
  <c r="P64"/>
  <c r="L64"/>
  <c r="F64"/>
  <c r="N77"/>
  <c r="J77"/>
  <c r="N73"/>
  <c r="J73"/>
  <c r="N69"/>
  <c r="J69"/>
  <c r="I79"/>
  <c r="N61"/>
  <c r="V97"/>
  <c r="V109"/>
  <c r="T97"/>
  <c r="T109"/>
  <c r="R97"/>
  <c r="R109"/>
  <c r="P97"/>
  <c r="P109"/>
  <c r="W97"/>
  <c r="W109"/>
  <c r="U97"/>
  <c r="U109"/>
  <c r="S97"/>
  <c r="S109"/>
  <c r="Q97"/>
  <c r="Q109"/>
  <c r="O97"/>
  <c r="O109"/>
  <c r="P92"/>
  <c r="L7"/>
  <c r="M7"/>
  <c r="I7"/>
  <c r="H97"/>
  <c r="H109"/>
  <c r="M76"/>
  <c r="J92"/>
  <c r="N18"/>
  <c r="N17"/>
  <c r="N16"/>
  <c r="N13"/>
  <c r="L12"/>
  <c r="N11"/>
  <c r="O18"/>
  <c r="P72"/>
  <c r="L72"/>
  <c r="N72"/>
  <c r="F72"/>
  <c r="P65"/>
  <c r="R65"/>
  <c r="L65"/>
  <c r="N65"/>
  <c r="F65"/>
  <c r="J65"/>
  <c r="P78"/>
  <c r="L78"/>
  <c r="F78"/>
  <c r="P74"/>
  <c r="L74"/>
  <c r="F74"/>
  <c r="J74"/>
  <c r="P70"/>
  <c r="L70"/>
  <c r="F70"/>
  <c r="P67"/>
  <c r="R67"/>
  <c r="L67"/>
  <c r="N67"/>
  <c r="F67"/>
  <c r="J67"/>
  <c r="P63"/>
  <c r="R63"/>
  <c r="L63"/>
  <c r="N63"/>
  <c r="F63"/>
  <c r="J63"/>
  <c r="K98"/>
  <c r="K110"/>
  <c r="Q73"/>
  <c r="R73"/>
  <c r="M93"/>
  <c r="K96"/>
  <c r="M91"/>
  <c r="L75"/>
  <c r="N75"/>
  <c r="F75"/>
  <c r="J75"/>
  <c r="P75"/>
  <c r="R75"/>
  <c r="L71"/>
  <c r="N71"/>
  <c r="F71"/>
  <c r="J71"/>
  <c r="P71"/>
  <c r="R71"/>
  <c r="P66"/>
  <c r="L66"/>
  <c r="F66"/>
  <c r="P62"/>
  <c r="L62"/>
  <c r="N62"/>
  <c r="F62"/>
  <c r="R78"/>
  <c r="J78"/>
  <c r="N78"/>
  <c r="J76"/>
  <c r="N76"/>
  <c r="R74"/>
  <c r="J72"/>
  <c r="R70"/>
  <c r="J70"/>
  <c r="R68"/>
  <c r="N68"/>
  <c r="J68"/>
  <c r="R66"/>
  <c r="N66"/>
  <c r="J66"/>
  <c r="R64"/>
  <c r="N64"/>
  <c r="J64"/>
  <c r="R62"/>
  <c r="J62"/>
  <c r="V96"/>
  <c r="T96"/>
  <c r="R96"/>
  <c r="P96"/>
  <c r="P91"/>
  <c r="W96"/>
  <c r="U96"/>
  <c r="S96"/>
  <c r="Q96"/>
  <c r="O96"/>
  <c r="V98"/>
  <c r="V110"/>
  <c r="T98"/>
  <c r="T110"/>
  <c r="R98"/>
  <c r="R110"/>
  <c r="P98"/>
  <c r="P110"/>
  <c r="P93"/>
  <c r="W98"/>
  <c r="W110"/>
  <c r="U98"/>
  <c r="U110"/>
  <c r="S98"/>
  <c r="S110"/>
  <c r="Q98"/>
  <c r="Q110"/>
  <c r="O98"/>
  <c r="O110"/>
  <c r="Q69"/>
  <c r="R69"/>
  <c r="L8"/>
  <c r="M8"/>
  <c r="I8"/>
  <c r="L6"/>
  <c r="M6"/>
  <c r="I6"/>
  <c r="H96"/>
  <c r="J91"/>
  <c r="H98"/>
  <c r="H110"/>
  <c r="Q76"/>
  <c r="R76"/>
  <c r="J93"/>
  <c r="J97"/>
  <c r="J109"/>
  <c r="M74"/>
  <c r="N74"/>
  <c r="F96"/>
  <c r="O17"/>
  <c r="M16"/>
  <c r="O12"/>
  <c r="K12"/>
  <c r="O11"/>
  <c r="K11"/>
  <c r="N97"/>
  <c r="N109"/>
  <c r="M70"/>
  <c r="N70"/>
  <c r="L98"/>
  <c r="L110"/>
  <c r="Q72"/>
  <c r="R72"/>
  <c r="W1075" i="4"/>
  <c r="O1075"/>
  <c r="Z961"/>
  <c r="R961"/>
  <c r="J961"/>
  <c r="AE847"/>
  <c r="W847"/>
  <c r="O847"/>
  <c r="AD811"/>
  <c r="V811"/>
  <c r="N811"/>
  <c r="AE697"/>
  <c r="W697"/>
  <c r="O697"/>
  <c r="AD355"/>
  <c r="V355"/>
  <c r="N355"/>
  <c r="AE241"/>
  <c r="W241"/>
  <c r="O241"/>
  <c r="X1153"/>
  <c r="P1153"/>
  <c r="AC1039"/>
  <c r="U1039"/>
  <c r="M1039"/>
  <c r="X925"/>
  <c r="P925"/>
  <c r="Y733"/>
  <c r="Q733"/>
  <c r="I733"/>
  <c r="X619"/>
  <c r="P619"/>
  <c r="Y583"/>
  <c r="Q583"/>
  <c r="I583"/>
  <c r="X469"/>
  <c r="P469"/>
  <c r="Y277"/>
  <c r="Q277"/>
  <c r="I277"/>
  <c r="X156"/>
  <c r="P156"/>
  <c r="U1075"/>
  <c r="M1075"/>
  <c r="X961"/>
  <c r="P961"/>
  <c r="AC847"/>
  <c r="U847"/>
  <c r="M847"/>
  <c r="X811"/>
  <c r="P811"/>
  <c r="AC697"/>
  <c r="U697"/>
  <c r="M697"/>
  <c r="X355"/>
  <c r="P355"/>
  <c r="AC241"/>
  <c r="U241"/>
  <c r="M241"/>
  <c r="Z1153"/>
  <c r="R1153"/>
  <c r="J1153"/>
  <c r="AA1039"/>
  <c r="S1039"/>
  <c r="K1039"/>
  <c r="AD925"/>
  <c r="V925"/>
  <c r="N925"/>
  <c r="AA733"/>
  <c r="S733"/>
  <c r="K733"/>
  <c r="Z619"/>
  <c r="R619"/>
  <c r="AE583"/>
  <c r="W583"/>
  <c r="O583"/>
  <c r="AD469"/>
  <c r="V469"/>
  <c r="N469"/>
  <c r="AA277"/>
  <c r="S277"/>
  <c r="J619"/>
  <c r="Z505"/>
  <c r="R505"/>
  <c r="J505"/>
  <c r="X505"/>
  <c r="P505"/>
  <c r="AA391"/>
  <c r="AC391"/>
  <c r="K277"/>
  <c r="Z156"/>
  <c r="R156"/>
  <c r="J156"/>
  <c r="AA1075"/>
  <c r="S1075"/>
  <c r="K1075"/>
  <c r="AD961"/>
  <c r="V961"/>
  <c r="N961"/>
  <c r="AA847"/>
  <c r="S847"/>
  <c r="K847"/>
  <c r="Z811"/>
  <c r="R811"/>
  <c r="J811"/>
  <c r="AA697"/>
  <c r="S697"/>
  <c r="K697"/>
  <c r="AD505"/>
  <c r="V505"/>
  <c r="N505"/>
  <c r="AE391"/>
  <c r="W391"/>
  <c r="Z355"/>
  <c r="R355"/>
  <c r="J355"/>
  <c r="AA241"/>
  <c r="S241"/>
  <c r="K241"/>
  <c r="AB1153"/>
  <c r="T1153"/>
  <c r="L1153"/>
  <c r="Y1039"/>
  <c r="Q1039"/>
  <c r="I1039"/>
  <c r="AB925"/>
  <c r="T925"/>
  <c r="L925"/>
  <c r="AC733"/>
  <c r="U733"/>
  <c r="M733"/>
  <c r="AB619"/>
  <c r="T619"/>
  <c r="L619"/>
  <c r="AC583"/>
  <c r="U583"/>
  <c r="M583"/>
  <c r="AB469"/>
  <c r="T469"/>
  <c r="L469"/>
  <c r="AC277"/>
  <c r="U277"/>
  <c r="M277"/>
  <c r="AB156"/>
  <c r="T156"/>
  <c r="L156"/>
  <c r="AC1075"/>
  <c r="Y1075"/>
  <c r="Q1075"/>
  <c r="I1075"/>
  <c r="AB961"/>
  <c r="T961"/>
  <c r="L961"/>
  <c r="Y847"/>
  <c r="Q847"/>
  <c r="Y697"/>
  <c r="Q697"/>
  <c r="I697"/>
  <c r="AB505"/>
  <c r="T505"/>
  <c r="L505"/>
  <c r="Y391"/>
  <c r="AB355"/>
  <c r="T355"/>
  <c r="L355"/>
  <c r="Y241"/>
  <c r="Q241"/>
  <c r="I241"/>
  <c r="AE1039"/>
  <c r="W1039"/>
  <c r="O1039"/>
  <c r="AD1153"/>
  <c r="V1153"/>
  <c r="N1153"/>
  <c r="I847"/>
  <c r="Z925"/>
  <c r="R925"/>
  <c r="AB811"/>
  <c r="T811"/>
  <c r="L811"/>
  <c r="J925"/>
  <c r="AE733"/>
  <c r="W733"/>
  <c r="O733"/>
  <c r="AD619"/>
  <c r="V619"/>
  <c r="N619"/>
  <c r="AA583"/>
  <c r="S583"/>
  <c r="K583"/>
  <c r="Z469"/>
  <c r="R469"/>
  <c r="J469"/>
  <c r="AE277"/>
  <c r="W277"/>
  <c r="O277"/>
  <c r="AD156"/>
  <c r="V156"/>
  <c r="N156"/>
  <c r="H1147"/>
  <c r="G1147"/>
  <c r="H1149"/>
  <c r="G1145"/>
  <c r="H1117"/>
  <c r="G1106"/>
  <c r="H889"/>
  <c r="G878"/>
  <c r="H919"/>
  <c r="G919"/>
  <c r="H921"/>
  <c r="G917"/>
  <c r="H661"/>
  <c r="G650"/>
  <c r="H613"/>
  <c r="G613"/>
  <c r="H615"/>
  <c r="G611"/>
  <c r="H433"/>
  <c r="G422"/>
  <c r="H463"/>
  <c r="G463"/>
  <c r="H465"/>
  <c r="G461"/>
  <c r="H150"/>
  <c r="G150"/>
  <c r="G148"/>
  <c r="H152"/>
  <c r="H955"/>
  <c r="G955"/>
  <c r="G953"/>
  <c r="H957"/>
  <c r="H775"/>
  <c r="G764"/>
  <c r="H805"/>
  <c r="G805"/>
  <c r="H807"/>
  <c r="G803"/>
  <c r="H499"/>
  <c r="G499"/>
  <c r="G497"/>
  <c r="H501"/>
  <c r="H547"/>
  <c r="G536"/>
  <c r="H319"/>
  <c r="G308"/>
  <c r="H349"/>
  <c r="G349"/>
  <c r="H351"/>
  <c r="G347"/>
  <c r="H1071"/>
  <c r="H1069"/>
  <c r="G1069"/>
  <c r="G1067"/>
  <c r="H693"/>
  <c r="G689"/>
  <c r="H691"/>
  <c r="G691"/>
  <c r="H387"/>
  <c r="H385"/>
  <c r="G385"/>
  <c r="G383"/>
  <c r="H237"/>
  <c r="G233"/>
  <c r="H235"/>
  <c r="G235"/>
  <c r="G249"/>
  <c r="G250"/>
  <c r="J106" i="2"/>
  <c r="H205" i="4"/>
  <c r="G194"/>
  <c r="H1035"/>
  <c r="G1031"/>
  <c r="H1033"/>
  <c r="G1033"/>
  <c r="H1003"/>
  <c r="G992"/>
  <c r="H729"/>
  <c r="H727"/>
  <c r="G727"/>
  <c r="G725"/>
  <c r="H579"/>
  <c r="G575"/>
  <c r="H577"/>
  <c r="G577"/>
  <c r="H273"/>
  <c r="H271"/>
  <c r="G271"/>
  <c r="G269"/>
  <c r="W1153"/>
  <c r="O1153"/>
  <c r="AD1039"/>
  <c r="V1039"/>
  <c r="N1039"/>
  <c r="AE925"/>
  <c r="W925"/>
  <c r="O925"/>
  <c r="Z733"/>
  <c r="R733"/>
  <c r="J733"/>
  <c r="AA619"/>
  <c r="S619"/>
  <c r="K619"/>
  <c r="AD583"/>
  <c r="V583"/>
  <c r="N583"/>
  <c r="AE469"/>
  <c r="W469"/>
  <c r="S391"/>
  <c r="O469"/>
  <c r="K391"/>
  <c r="Z277"/>
  <c r="R277"/>
  <c r="J277"/>
  <c r="AA156"/>
  <c r="S156"/>
  <c r="K156"/>
  <c r="T1075"/>
  <c r="L1075"/>
  <c r="Y961"/>
  <c r="Q961"/>
  <c r="I961"/>
  <c r="AB847"/>
  <c r="T847"/>
  <c r="L847"/>
  <c r="AC811"/>
  <c r="U811"/>
  <c r="M811"/>
  <c r="AB697"/>
  <c r="T697"/>
  <c r="L697"/>
  <c r="AC505"/>
  <c r="U505"/>
  <c r="M505"/>
  <c r="AB391"/>
  <c r="T391"/>
  <c r="L391"/>
  <c r="AC355"/>
  <c r="U355"/>
  <c r="M355"/>
  <c r="AB241"/>
  <c r="T241"/>
  <c r="L241"/>
  <c r="AC1153"/>
  <c r="U1153"/>
  <c r="M1153"/>
  <c r="AB1039"/>
  <c r="T1039"/>
  <c r="L1039"/>
  <c r="Y925"/>
  <c r="Q925"/>
  <c r="I925"/>
  <c r="AB733"/>
  <c r="T733"/>
  <c r="L733"/>
  <c r="Y619"/>
  <c r="Q619"/>
  <c r="I619"/>
  <c r="AB583"/>
  <c r="T583"/>
  <c r="L583"/>
  <c r="Y469"/>
  <c r="U391"/>
  <c r="Q469"/>
  <c r="M391"/>
  <c r="I469"/>
  <c r="AB277"/>
  <c r="T277"/>
  <c r="L277"/>
  <c r="Y156"/>
  <c r="Q156"/>
  <c r="I156"/>
  <c r="Z1075"/>
  <c r="V1075"/>
  <c r="N1075"/>
  <c r="AE961"/>
  <c r="W961"/>
  <c r="O961"/>
  <c r="Z847"/>
  <c r="R847"/>
  <c r="J847"/>
  <c r="AE811"/>
  <c r="W811"/>
  <c r="O811"/>
  <c r="AD697"/>
  <c r="V697"/>
  <c r="N697"/>
  <c r="AA505"/>
  <c r="S505"/>
  <c r="K505"/>
  <c r="Z391"/>
  <c r="R391"/>
  <c r="J391"/>
  <c r="AE355"/>
  <c r="W355"/>
  <c r="O355"/>
  <c r="AD241"/>
  <c r="V241"/>
  <c r="N241"/>
  <c r="AA1153"/>
  <c r="S1153"/>
  <c r="K1153"/>
  <c r="Z1039"/>
  <c r="R1039"/>
  <c r="J1039"/>
  <c r="AA925"/>
  <c r="S925"/>
  <c r="K925"/>
  <c r="AD733"/>
  <c r="V733"/>
  <c r="N733"/>
  <c r="AE619"/>
  <c r="W619"/>
  <c r="O619"/>
  <c r="Z583"/>
  <c r="R583"/>
  <c r="J583"/>
  <c r="AA469"/>
  <c r="S469"/>
  <c r="O391"/>
  <c r="K469"/>
  <c r="AD277"/>
  <c r="V277"/>
  <c r="N277"/>
  <c r="AE156"/>
  <c r="W156"/>
  <c r="O156"/>
  <c r="AB1075"/>
  <c r="X1075"/>
  <c r="P1075"/>
  <c r="AC961"/>
  <c r="U961"/>
  <c r="M961"/>
  <c r="X847"/>
  <c r="P847"/>
  <c r="Y811"/>
  <c r="Q811"/>
  <c r="I811"/>
  <c r="X697"/>
  <c r="P697"/>
  <c r="Y505"/>
  <c r="Q505"/>
  <c r="I505"/>
  <c r="X391"/>
  <c r="P391"/>
  <c r="Y355"/>
  <c r="Q355"/>
  <c r="I355"/>
  <c r="X241"/>
  <c r="P241"/>
  <c r="Y1153"/>
  <c r="Q1153"/>
  <c r="I1153"/>
  <c r="X1039"/>
  <c r="P1039"/>
  <c r="AC925"/>
  <c r="U925"/>
  <c r="M925"/>
  <c r="X733"/>
  <c r="P733"/>
  <c r="AC619"/>
  <c r="U619"/>
  <c r="M619"/>
  <c r="X583"/>
  <c r="P583"/>
  <c r="AC469"/>
  <c r="U469"/>
  <c r="Q391"/>
  <c r="M469"/>
  <c r="I391"/>
  <c r="X277"/>
  <c r="P277"/>
  <c r="AC156"/>
  <c r="U156"/>
  <c r="M156"/>
  <c r="AD1075"/>
  <c r="R1075"/>
  <c r="J1075"/>
  <c r="AA961"/>
  <c r="S961"/>
  <c r="K961"/>
  <c r="AD847"/>
  <c r="V847"/>
  <c r="N847"/>
  <c r="AA811"/>
  <c r="S811"/>
  <c r="K811"/>
  <c r="Z697"/>
  <c r="R697"/>
  <c r="J697"/>
  <c r="AE505"/>
  <c r="W505"/>
  <c r="O505"/>
  <c r="AD391"/>
  <c r="V391"/>
  <c r="N391"/>
  <c r="AA355"/>
  <c r="S355"/>
  <c r="K355"/>
  <c r="Z241"/>
  <c r="R241"/>
  <c r="J241"/>
  <c r="H843"/>
  <c r="H841"/>
  <c r="G841"/>
  <c r="G839"/>
  <c r="J79" i="3"/>
  <c r="J80"/>
  <c r="R79"/>
  <c r="R80"/>
  <c r="J6"/>
  <c r="G6"/>
  <c r="O41"/>
  <c r="O36"/>
  <c r="M36"/>
  <c r="K36"/>
  <c r="N41"/>
  <c r="N36"/>
  <c r="L36"/>
  <c r="J36"/>
  <c r="K31"/>
  <c r="I31"/>
  <c r="I26"/>
  <c r="G21"/>
  <c r="G16"/>
  <c r="G11"/>
  <c r="J31"/>
  <c r="H26"/>
  <c r="H21"/>
  <c r="M33"/>
  <c r="J18"/>
  <c r="J28"/>
  <c r="N28"/>
  <c r="L33"/>
  <c r="I23"/>
  <c r="K28"/>
  <c r="O28"/>
  <c r="O33"/>
  <c r="H13"/>
  <c r="H18"/>
  <c r="J23"/>
  <c r="L28"/>
  <c r="N33"/>
  <c r="I13"/>
  <c r="I18"/>
  <c r="K23"/>
  <c r="M28"/>
  <c r="G7"/>
  <c r="J7"/>
  <c r="O42"/>
  <c r="O37"/>
  <c r="M37"/>
  <c r="K37"/>
  <c r="N42"/>
  <c r="N37"/>
  <c r="L37"/>
  <c r="J37"/>
  <c r="K32"/>
  <c r="I32"/>
  <c r="I27"/>
  <c r="G22"/>
  <c r="G17"/>
  <c r="G12"/>
  <c r="J32"/>
  <c r="H27"/>
  <c r="H22"/>
  <c r="N79"/>
  <c r="N80"/>
  <c r="J16"/>
  <c r="J26"/>
  <c r="N26"/>
  <c r="L31"/>
  <c r="I21"/>
  <c r="K26"/>
  <c r="O26"/>
  <c r="M31"/>
  <c r="H11"/>
  <c r="H16"/>
  <c r="J21"/>
  <c r="L26"/>
  <c r="N31"/>
  <c r="I11"/>
  <c r="I16"/>
  <c r="K21"/>
  <c r="M26"/>
  <c r="O31"/>
  <c r="G8"/>
  <c r="J8"/>
  <c r="O43"/>
  <c r="O38"/>
  <c r="M38"/>
  <c r="K38"/>
  <c r="N43"/>
  <c r="N38"/>
  <c r="L38"/>
  <c r="J38"/>
  <c r="K33"/>
  <c r="I33"/>
  <c r="I28"/>
  <c r="G23"/>
  <c r="G18"/>
  <c r="G13"/>
  <c r="J33"/>
  <c r="H28"/>
  <c r="H23"/>
  <c r="H12"/>
  <c r="J17"/>
  <c r="L27"/>
  <c r="N32"/>
  <c r="I17"/>
  <c r="K22"/>
  <c r="M27"/>
  <c r="O32"/>
  <c r="H17"/>
  <c r="J22"/>
  <c r="J27"/>
  <c r="N27"/>
  <c r="L32"/>
  <c r="I12"/>
  <c r="I22"/>
  <c r="K27"/>
  <c r="O27"/>
  <c r="M32"/>
  <c r="J106" i="4"/>
  <c r="Q106"/>
  <c r="H274"/>
  <c r="G273"/>
  <c r="H730"/>
  <c r="G729"/>
  <c r="H1004"/>
  <c r="G1003"/>
  <c r="H238"/>
  <c r="G237"/>
  <c r="H694"/>
  <c r="G693"/>
  <c r="H320"/>
  <c r="G319"/>
  <c r="H548"/>
  <c r="G547"/>
  <c r="H776"/>
  <c r="G775"/>
  <c r="H153"/>
  <c r="G152"/>
  <c r="H466"/>
  <c r="G465"/>
  <c r="H662"/>
  <c r="G661"/>
  <c r="H922"/>
  <c r="G921"/>
  <c r="H844"/>
  <c r="G843"/>
  <c r="H580"/>
  <c r="G579"/>
  <c r="H1036"/>
  <c r="G1035"/>
  <c r="H206"/>
  <c r="G205"/>
  <c r="H388"/>
  <c r="G387"/>
  <c r="H1072"/>
  <c r="G1071"/>
  <c r="H352"/>
  <c r="G351"/>
  <c r="H502"/>
  <c r="G501"/>
  <c r="H808"/>
  <c r="G807"/>
  <c r="H958"/>
  <c r="G957"/>
  <c r="H434"/>
  <c r="G433"/>
  <c r="H616"/>
  <c r="G615"/>
  <c r="H890"/>
  <c r="G889"/>
  <c r="H1118"/>
  <c r="G1117"/>
  <c r="H1150"/>
  <c r="G1149"/>
  <c r="O47" i="3"/>
  <c r="M47"/>
  <c r="K47"/>
  <c r="I42"/>
  <c r="G37"/>
  <c r="N47"/>
  <c r="L47"/>
  <c r="J47"/>
  <c r="H42"/>
  <c r="E17"/>
  <c r="E12"/>
  <c r="F32"/>
  <c r="F27"/>
  <c r="G27"/>
  <c r="G32"/>
  <c r="F12"/>
  <c r="H37"/>
  <c r="M42"/>
  <c r="H32"/>
  <c r="F17"/>
  <c r="L42"/>
  <c r="I37"/>
  <c r="K42"/>
  <c r="J42"/>
  <c r="F22"/>
  <c r="O46"/>
  <c r="M46"/>
  <c r="K46"/>
  <c r="I41"/>
  <c r="G36"/>
  <c r="N46"/>
  <c r="L46"/>
  <c r="J46"/>
  <c r="H41"/>
  <c r="E16"/>
  <c r="E11"/>
  <c r="F31"/>
  <c r="F26"/>
  <c r="F11"/>
  <c r="F16"/>
  <c r="F21"/>
  <c r="M41"/>
  <c r="I36"/>
  <c r="J41"/>
  <c r="H31"/>
  <c r="G26"/>
  <c r="G31"/>
  <c r="L41"/>
  <c r="K41"/>
  <c r="H36"/>
  <c r="O48"/>
  <c r="M48"/>
  <c r="K48"/>
  <c r="I43"/>
  <c r="G38"/>
  <c r="N48"/>
  <c r="L48"/>
  <c r="J48"/>
  <c r="H43"/>
  <c r="E18"/>
  <c r="E13"/>
  <c r="F33"/>
  <c r="F28"/>
  <c r="F13"/>
  <c r="F18"/>
  <c r="F23"/>
  <c r="M43"/>
  <c r="I38"/>
  <c r="J43"/>
  <c r="H33"/>
  <c r="G28"/>
  <c r="G33"/>
  <c r="H38"/>
  <c r="L43"/>
  <c r="K43"/>
  <c r="E8"/>
  <c r="H8"/>
  <c r="E7"/>
  <c r="H7"/>
  <c r="E6"/>
  <c r="H6"/>
  <c r="H1151" i="4"/>
  <c r="G1150"/>
  <c r="H1119"/>
  <c r="G1118"/>
  <c r="H891"/>
  <c r="G890"/>
  <c r="H617"/>
  <c r="G616"/>
  <c r="H435"/>
  <c r="G434"/>
  <c r="H959"/>
  <c r="G958"/>
  <c r="H809"/>
  <c r="G808"/>
  <c r="H503"/>
  <c r="G502"/>
  <c r="H353"/>
  <c r="G352"/>
  <c r="H1073"/>
  <c r="G1072"/>
  <c r="H389"/>
  <c r="G388"/>
  <c r="H207"/>
  <c r="G206"/>
  <c r="H1037"/>
  <c r="G1036"/>
  <c r="H581"/>
  <c r="G580"/>
  <c r="H845"/>
  <c r="G844"/>
  <c r="H923"/>
  <c r="G922"/>
  <c r="H663"/>
  <c r="G662"/>
  <c r="H467"/>
  <c r="G466"/>
  <c r="H154"/>
  <c r="G153"/>
  <c r="H777"/>
  <c r="G776"/>
  <c r="H549"/>
  <c r="G548"/>
  <c r="H321"/>
  <c r="G320"/>
  <c r="H695"/>
  <c r="G694"/>
  <c r="H239"/>
  <c r="G238"/>
  <c r="H1005"/>
  <c r="G1004"/>
  <c r="H731"/>
  <c r="G730"/>
  <c r="H275"/>
  <c r="G274"/>
  <c r="F6" i="3"/>
  <c r="D6"/>
  <c r="F51"/>
  <c r="N51"/>
  <c r="L51"/>
  <c r="J51"/>
  <c r="G46"/>
  <c r="E36"/>
  <c r="O51"/>
  <c r="M51"/>
  <c r="K51"/>
  <c r="F41"/>
  <c r="E31"/>
  <c r="E26"/>
  <c r="I46"/>
  <c r="E21"/>
  <c r="G41"/>
  <c r="F36"/>
  <c r="H46"/>
  <c r="O52"/>
  <c r="M52"/>
  <c r="K52"/>
  <c r="G47"/>
  <c r="E37"/>
  <c r="N52"/>
  <c r="L52"/>
  <c r="J52"/>
  <c r="F42"/>
  <c r="E32"/>
  <c r="H47"/>
  <c r="E22"/>
  <c r="F37"/>
  <c r="I47"/>
  <c r="G42"/>
  <c r="E27"/>
  <c r="D7"/>
  <c r="F52"/>
  <c r="F7"/>
  <c r="N53"/>
  <c r="L53"/>
  <c r="J53"/>
  <c r="G48"/>
  <c r="E38"/>
  <c r="O53"/>
  <c r="M53"/>
  <c r="K53"/>
  <c r="F43"/>
  <c r="E33"/>
  <c r="F38"/>
  <c r="I48"/>
  <c r="G43"/>
  <c r="E28"/>
  <c r="H48"/>
  <c r="E23"/>
  <c r="E53"/>
  <c r="D38"/>
  <c r="D8"/>
  <c r="D33"/>
  <c r="F8"/>
  <c r="H277" i="4"/>
  <c r="G277"/>
  <c r="G275"/>
  <c r="H733"/>
  <c r="G733"/>
  <c r="G731"/>
  <c r="G1005"/>
  <c r="H241"/>
  <c r="G241"/>
  <c r="G239"/>
  <c r="H697"/>
  <c r="G697"/>
  <c r="G695"/>
  <c r="G321"/>
  <c r="G549"/>
  <c r="G777"/>
  <c r="H156"/>
  <c r="G156"/>
  <c r="G154"/>
  <c r="H469"/>
  <c r="G469"/>
  <c r="G467"/>
  <c r="G663"/>
  <c r="H925"/>
  <c r="G925"/>
  <c r="G923"/>
  <c r="H847"/>
  <c r="G847"/>
  <c r="G845"/>
  <c r="H583"/>
  <c r="G583"/>
  <c r="G581"/>
  <c r="H1039"/>
  <c r="G1039"/>
  <c r="G1037"/>
  <c r="G207"/>
  <c r="H391"/>
  <c r="G391"/>
  <c r="G389"/>
  <c r="H1075"/>
  <c r="G1075"/>
  <c r="G1073"/>
  <c r="H355"/>
  <c r="G355"/>
  <c r="G353"/>
  <c r="H505"/>
  <c r="G505"/>
  <c r="G503"/>
  <c r="H811"/>
  <c r="G811"/>
  <c r="G809"/>
  <c r="H961"/>
  <c r="G961"/>
  <c r="G959"/>
  <c r="G435"/>
  <c r="H619"/>
  <c r="G619"/>
  <c r="G617"/>
  <c r="G891"/>
  <c r="G1119"/>
  <c r="H1153"/>
  <c r="G1153"/>
  <c r="G1151"/>
  <c r="E48" i="3"/>
  <c r="G53"/>
  <c r="D28"/>
  <c r="D23"/>
  <c r="D18"/>
  <c r="F48"/>
  <c r="H53"/>
  <c r="E43"/>
  <c r="I53"/>
  <c r="D13"/>
  <c r="C8"/>
  <c r="D48"/>
  <c r="E46"/>
  <c r="G51"/>
  <c r="D26"/>
  <c r="D21"/>
  <c r="D16"/>
  <c r="F46"/>
  <c r="D11"/>
  <c r="E41"/>
  <c r="I51"/>
  <c r="H51"/>
  <c r="D43"/>
  <c r="F53"/>
  <c r="D32"/>
  <c r="D37"/>
  <c r="D31"/>
  <c r="D41"/>
  <c r="G52"/>
  <c r="E47"/>
  <c r="D27"/>
  <c r="D22"/>
  <c r="D17"/>
  <c r="I52"/>
  <c r="F47"/>
  <c r="H52"/>
  <c r="E42"/>
  <c r="D12"/>
  <c r="C7"/>
  <c r="D47"/>
  <c r="C6"/>
  <c r="D46"/>
  <c r="D42"/>
  <c r="E52"/>
  <c r="D36"/>
  <c r="E51"/>
  <c r="W55" i="1"/>
  <c r="W22" i="4"/>
  <c r="W24"/>
  <c r="V55" i="1"/>
  <c r="V22" i="4"/>
  <c r="V24"/>
  <c r="U55" i="1"/>
  <c r="U22" i="4"/>
  <c r="U24"/>
  <c r="T55" i="1"/>
  <c r="T22" i="4"/>
  <c r="T24"/>
  <c r="S55" i="1"/>
  <c r="S22" i="4"/>
  <c r="S24"/>
  <c r="R55" i="1"/>
  <c r="R22" i="4"/>
  <c r="R24"/>
  <c r="Q55" i="1"/>
  <c r="Q22" i="4"/>
  <c r="Q24"/>
  <c r="P55" i="1"/>
  <c r="P22" i="4"/>
  <c r="P24"/>
  <c r="M55" i="1"/>
  <c r="M22" i="4"/>
  <c r="M24"/>
  <c r="N55" i="1"/>
  <c r="N22" i="4"/>
  <c r="N24"/>
  <c r="L55" i="1"/>
  <c r="L22" i="4"/>
  <c r="L24"/>
  <c r="G55" i="1"/>
  <c r="G22" i="4"/>
  <c r="G24"/>
  <c r="H55" i="1"/>
  <c r="H22" i="4"/>
  <c r="H24"/>
  <c r="I55" i="1"/>
  <c r="I22" i="4"/>
  <c r="I24"/>
  <c r="J55" i="1"/>
  <c r="J22" i="4"/>
  <c r="J24"/>
  <c r="K55" i="1"/>
  <c r="K22" i="4"/>
  <c r="K24"/>
  <c r="F55" i="1"/>
  <c r="G819" i="4"/>
  <c r="G820"/>
  <c r="J111" i="2"/>
  <c r="G363" i="4"/>
  <c r="G364"/>
  <c r="J107" i="2"/>
  <c r="G1047" i="4"/>
  <c r="G1048"/>
  <c r="J113" i="2"/>
  <c r="G591" i="4"/>
  <c r="G592"/>
  <c r="J109" i="2"/>
  <c r="G933" i="4"/>
  <c r="G934"/>
  <c r="J112" i="2"/>
  <c r="G477" i="4"/>
  <c r="G478"/>
  <c r="J108" i="2"/>
  <c r="G705" i="4"/>
  <c r="G706"/>
  <c r="J110" i="2"/>
  <c r="AE297" i="4"/>
  <c r="AA297"/>
  <c r="W297"/>
  <c r="S297"/>
  <c r="O297"/>
  <c r="K297"/>
  <c r="AD258"/>
  <c r="Z258"/>
  <c r="V258"/>
  <c r="R258"/>
  <c r="N258"/>
  <c r="J258"/>
  <c r="AD297"/>
  <c r="Z297"/>
  <c r="V297"/>
  <c r="R297"/>
  <c r="N297"/>
  <c r="J297"/>
  <c r="AE258"/>
  <c r="AA258"/>
  <c r="W258"/>
  <c r="S258"/>
  <c r="O258"/>
  <c r="K258"/>
  <c r="AB325"/>
  <c r="AC297"/>
  <c r="Y297"/>
  <c r="U297"/>
  <c r="Q297"/>
  <c r="M297"/>
  <c r="I297"/>
  <c r="AB258"/>
  <c r="X258"/>
  <c r="T258"/>
  <c r="P258"/>
  <c r="L258"/>
  <c r="H258"/>
  <c r="AB297"/>
  <c r="X297"/>
  <c r="T297"/>
  <c r="P297"/>
  <c r="L297"/>
  <c r="H297"/>
  <c r="AC258"/>
  <c r="Y258"/>
  <c r="U258"/>
  <c r="Q258"/>
  <c r="M258"/>
  <c r="I258"/>
  <c r="K279"/>
  <c r="S279"/>
  <c r="AA279"/>
  <c r="I325"/>
  <c r="Q325"/>
  <c r="Y325"/>
  <c r="L279"/>
  <c r="T279"/>
  <c r="AB279"/>
  <c r="N325"/>
  <c r="V325"/>
  <c r="AD325"/>
  <c r="I279"/>
  <c r="Q279"/>
  <c r="Y279"/>
  <c r="K325"/>
  <c r="S325"/>
  <c r="AA325"/>
  <c r="J279"/>
  <c r="R279"/>
  <c r="Z279"/>
  <c r="H325"/>
  <c r="P325"/>
  <c r="X325"/>
  <c r="O279"/>
  <c r="W279"/>
  <c r="AE279"/>
  <c r="M325"/>
  <c r="U325"/>
  <c r="AC325"/>
  <c r="H279"/>
  <c r="P279"/>
  <c r="X279"/>
  <c r="J325"/>
  <c r="R325"/>
  <c r="Z325"/>
  <c r="M279"/>
  <c r="U279"/>
  <c r="AC279"/>
  <c r="O325"/>
  <c r="W325"/>
  <c r="AE325"/>
  <c r="N279"/>
  <c r="V279"/>
  <c r="AD279"/>
  <c r="L325"/>
  <c r="T325"/>
  <c r="AD525"/>
  <c r="Z525"/>
  <c r="V525"/>
  <c r="R525"/>
  <c r="N525"/>
  <c r="J525"/>
  <c r="AE486"/>
  <c r="AA486"/>
  <c r="W486"/>
  <c r="S486"/>
  <c r="O486"/>
  <c r="K486"/>
  <c r="AE525"/>
  <c r="AA525"/>
  <c r="W525"/>
  <c r="S525"/>
  <c r="O525"/>
  <c r="K525"/>
  <c r="AD486"/>
  <c r="Z486"/>
  <c r="V486"/>
  <c r="R486"/>
  <c r="N486"/>
  <c r="J486"/>
  <c r="AC553"/>
  <c r="AB525"/>
  <c r="X525"/>
  <c r="T525"/>
  <c r="P525"/>
  <c r="L525"/>
  <c r="H525"/>
  <c r="AC486"/>
  <c r="Y486"/>
  <c r="U486"/>
  <c r="Q486"/>
  <c r="M486"/>
  <c r="I486"/>
  <c r="AC525"/>
  <c r="Y525"/>
  <c r="U525"/>
  <c r="Q525"/>
  <c r="M525"/>
  <c r="I525"/>
  <c r="AB486"/>
  <c r="X486"/>
  <c r="T486"/>
  <c r="P486"/>
  <c r="L486"/>
  <c r="H486"/>
  <c r="J507"/>
  <c r="R507"/>
  <c r="Z507"/>
  <c r="H553"/>
  <c r="P553"/>
  <c r="X553"/>
  <c r="I507"/>
  <c r="Q507"/>
  <c r="Y507"/>
  <c r="K553"/>
  <c r="S553"/>
  <c r="AA553"/>
  <c r="L507"/>
  <c r="T507"/>
  <c r="AB507"/>
  <c r="N553"/>
  <c r="V553"/>
  <c r="AD553"/>
  <c r="O507"/>
  <c r="W507"/>
  <c r="AE507"/>
  <c r="M553"/>
  <c r="U553"/>
  <c r="N507"/>
  <c r="V507"/>
  <c r="AD507"/>
  <c r="L553"/>
  <c r="T553"/>
  <c r="AB553"/>
  <c r="M507"/>
  <c r="U507"/>
  <c r="AC507"/>
  <c r="O553"/>
  <c r="W553"/>
  <c r="AE553"/>
  <c r="H507"/>
  <c r="P507"/>
  <c r="X507"/>
  <c r="J553"/>
  <c r="R553"/>
  <c r="Z553"/>
  <c r="K507"/>
  <c r="S507"/>
  <c r="AA507"/>
  <c r="I553"/>
  <c r="Q553"/>
  <c r="Y553"/>
  <c r="AD981"/>
  <c r="Z981"/>
  <c r="V981"/>
  <c r="R981"/>
  <c r="N981"/>
  <c r="J981"/>
  <c r="AE942"/>
  <c r="AA942"/>
  <c r="W942"/>
  <c r="S942"/>
  <c r="O942"/>
  <c r="K942"/>
  <c r="AE981"/>
  <c r="AA981"/>
  <c r="W981"/>
  <c r="S981"/>
  <c r="O981"/>
  <c r="K981"/>
  <c r="AD942"/>
  <c r="V942"/>
  <c r="N942"/>
  <c r="AB942"/>
  <c r="T942"/>
  <c r="L942"/>
  <c r="AC1009"/>
  <c r="AB981"/>
  <c r="X981"/>
  <c r="T981"/>
  <c r="P981"/>
  <c r="L981"/>
  <c r="H981"/>
  <c r="AC942"/>
  <c r="Y942"/>
  <c r="U942"/>
  <c r="Q942"/>
  <c r="M942"/>
  <c r="I942"/>
  <c r="AC981"/>
  <c r="Y981"/>
  <c r="U981"/>
  <c r="Q981"/>
  <c r="M981"/>
  <c r="I981"/>
  <c r="Z942"/>
  <c r="R942"/>
  <c r="J942"/>
  <c r="X942"/>
  <c r="P942"/>
  <c r="H942"/>
  <c r="N963"/>
  <c r="V963"/>
  <c r="AD963"/>
  <c r="L1009"/>
  <c r="T1009"/>
  <c r="AB1009"/>
  <c r="M963"/>
  <c r="U963"/>
  <c r="AC963"/>
  <c r="O1009"/>
  <c r="W1009"/>
  <c r="AE1009"/>
  <c r="L963"/>
  <c r="T963"/>
  <c r="AB963"/>
  <c r="N1009"/>
  <c r="V1009"/>
  <c r="AD1009"/>
  <c r="O963"/>
  <c r="W963"/>
  <c r="AE963"/>
  <c r="M1009"/>
  <c r="U1009"/>
  <c r="J963"/>
  <c r="R963"/>
  <c r="Z963"/>
  <c r="H1009"/>
  <c r="P1009"/>
  <c r="X1009"/>
  <c r="I963"/>
  <c r="Q963"/>
  <c r="Y963"/>
  <c r="K1009"/>
  <c r="S1009"/>
  <c r="AA1009"/>
  <c r="H963"/>
  <c r="P963"/>
  <c r="X963"/>
  <c r="J1009"/>
  <c r="R1009"/>
  <c r="Z1009"/>
  <c r="K963"/>
  <c r="S963"/>
  <c r="AA963"/>
  <c r="I1009"/>
  <c r="Q1009"/>
  <c r="Y1009"/>
  <c r="F22" i="2"/>
  <c r="F22" i="4"/>
  <c r="F24"/>
  <c r="AC411"/>
  <c r="Y411"/>
  <c r="U411"/>
  <c r="Q411"/>
  <c r="M411"/>
  <c r="I411"/>
  <c r="AB411"/>
  <c r="X411"/>
  <c r="T411"/>
  <c r="P411"/>
  <c r="L411"/>
  <c r="H411"/>
  <c r="AC372"/>
  <c r="Y372"/>
  <c r="U372"/>
  <c r="Q372"/>
  <c r="M372"/>
  <c r="I372"/>
  <c r="AB372"/>
  <c r="X372"/>
  <c r="T372"/>
  <c r="P372"/>
  <c r="L372"/>
  <c r="H372"/>
  <c r="AD439"/>
  <c r="AE411"/>
  <c r="AA411"/>
  <c r="W411"/>
  <c r="S411"/>
  <c r="O411"/>
  <c r="K411"/>
  <c r="AD411"/>
  <c r="Z411"/>
  <c r="V411"/>
  <c r="R411"/>
  <c r="N411"/>
  <c r="J411"/>
  <c r="AE372"/>
  <c r="AA372"/>
  <c r="W372"/>
  <c r="S372"/>
  <c r="O372"/>
  <c r="K372"/>
  <c r="AD372"/>
  <c r="Z372"/>
  <c r="V372"/>
  <c r="R372"/>
  <c r="N372"/>
  <c r="J372"/>
  <c r="I393"/>
  <c r="Q393"/>
  <c r="Y393"/>
  <c r="K439"/>
  <c r="S439"/>
  <c r="AA439"/>
  <c r="J393"/>
  <c r="R393"/>
  <c r="Z393"/>
  <c r="H439"/>
  <c r="P439"/>
  <c r="X439"/>
  <c r="K393"/>
  <c r="S393"/>
  <c r="AA393"/>
  <c r="I439"/>
  <c r="Q439"/>
  <c r="Y439"/>
  <c r="H393"/>
  <c r="P393"/>
  <c r="X393"/>
  <c r="J439"/>
  <c r="R439"/>
  <c r="Z439"/>
  <c r="M393"/>
  <c r="U393"/>
  <c r="AC393"/>
  <c r="O439"/>
  <c r="W439"/>
  <c r="AE439"/>
  <c r="N393"/>
  <c r="V393"/>
  <c r="AD393"/>
  <c r="L439"/>
  <c r="T439"/>
  <c r="AB439"/>
  <c r="O393"/>
  <c r="W393"/>
  <c r="AE393"/>
  <c r="M439"/>
  <c r="U439"/>
  <c r="AC439"/>
  <c r="L393"/>
  <c r="T393"/>
  <c r="AB393"/>
  <c r="N439"/>
  <c r="V439"/>
  <c r="AB639"/>
  <c r="X639"/>
  <c r="T639"/>
  <c r="P639"/>
  <c r="L639"/>
  <c r="H639"/>
  <c r="AC639"/>
  <c r="Y639"/>
  <c r="U639"/>
  <c r="Q639"/>
  <c r="M639"/>
  <c r="I639"/>
  <c r="AB600"/>
  <c r="X600"/>
  <c r="T600"/>
  <c r="P600"/>
  <c r="L600"/>
  <c r="H600"/>
  <c r="AC600"/>
  <c r="Y600"/>
  <c r="U600"/>
  <c r="Q600"/>
  <c r="M600"/>
  <c r="I600"/>
  <c r="AD639"/>
  <c r="Z639"/>
  <c r="V639"/>
  <c r="R639"/>
  <c r="N639"/>
  <c r="J639"/>
  <c r="AE639"/>
  <c r="AA639"/>
  <c r="W639"/>
  <c r="S639"/>
  <c r="O639"/>
  <c r="K639"/>
  <c r="AD600"/>
  <c r="Z600"/>
  <c r="V600"/>
  <c r="R600"/>
  <c r="N600"/>
  <c r="J600"/>
  <c r="AE600"/>
  <c r="AA600"/>
  <c r="W600"/>
  <c r="S600"/>
  <c r="O600"/>
  <c r="K600"/>
  <c r="AE667"/>
  <c r="L621"/>
  <c r="T621"/>
  <c r="AB621"/>
  <c r="N667"/>
  <c r="V667"/>
  <c r="AD667"/>
  <c r="O621"/>
  <c r="W621"/>
  <c r="AE621"/>
  <c r="M667"/>
  <c r="U667"/>
  <c r="AC667"/>
  <c r="N621"/>
  <c r="V621"/>
  <c r="AD621"/>
  <c r="L667"/>
  <c r="T667"/>
  <c r="AB667"/>
  <c r="M621"/>
  <c r="U621"/>
  <c r="AC621"/>
  <c r="O667"/>
  <c r="W667"/>
  <c r="H621"/>
  <c r="P621"/>
  <c r="X621"/>
  <c r="J667"/>
  <c r="R667"/>
  <c r="Z667"/>
  <c r="K621"/>
  <c r="S621"/>
  <c r="AA621"/>
  <c r="I667"/>
  <c r="Q667"/>
  <c r="Y667"/>
  <c r="J621"/>
  <c r="R621"/>
  <c r="Z621"/>
  <c r="H667"/>
  <c r="P667"/>
  <c r="X667"/>
  <c r="I621"/>
  <c r="Q621"/>
  <c r="Y621"/>
  <c r="K667"/>
  <c r="S667"/>
  <c r="AA667"/>
  <c r="AC867"/>
  <c r="Y867"/>
  <c r="U867"/>
  <c r="Q867"/>
  <c r="M867"/>
  <c r="I867"/>
  <c r="AB867"/>
  <c r="X867"/>
  <c r="T867"/>
  <c r="P867"/>
  <c r="L867"/>
  <c r="H867"/>
  <c r="AC828"/>
  <c r="AA828"/>
  <c r="W828"/>
  <c r="S828"/>
  <c r="O828"/>
  <c r="K828"/>
  <c r="AB828"/>
  <c r="X828"/>
  <c r="T828"/>
  <c r="P828"/>
  <c r="L828"/>
  <c r="H828"/>
  <c r="AD895"/>
  <c r="AE867"/>
  <c r="AA867"/>
  <c r="W867"/>
  <c r="S867"/>
  <c r="O867"/>
  <c r="K867"/>
  <c r="AD867"/>
  <c r="Z867"/>
  <c r="V867"/>
  <c r="R867"/>
  <c r="N867"/>
  <c r="J867"/>
  <c r="AE828"/>
  <c r="AD828"/>
  <c r="Y828"/>
  <c r="U828"/>
  <c r="Q828"/>
  <c r="M828"/>
  <c r="I828"/>
  <c r="Z828"/>
  <c r="V828"/>
  <c r="R828"/>
  <c r="N828"/>
  <c r="J828"/>
  <c r="I849"/>
  <c r="Q849"/>
  <c r="Y849"/>
  <c r="K895"/>
  <c r="S895"/>
  <c r="AA895"/>
  <c r="J849"/>
  <c r="R849"/>
  <c r="Z849"/>
  <c r="H895"/>
  <c r="P895"/>
  <c r="X895"/>
  <c r="K849"/>
  <c r="S849"/>
  <c r="AA849"/>
  <c r="I895"/>
  <c r="Q895"/>
  <c r="Y895"/>
  <c r="H849"/>
  <c r="P849"/>
  <c r="X849"/>
  <c r="J895"/>
  <c r="R895"/>
  <c r="Z895"/>
  <c r="M849"/>
  <c r="U849"/>
  <c r="AC849"/>
  <c r="O895"/>
  <c r="W895"/>
  <c r="AE895"/>
  <c r="N849"/>
  <c r="V849"/>
  <c r="AD849"/>
  <c r="L895"/>
  <c r="T895"/>
  <c r="AB895"/>
  <c r="O849"/>
  <c r="W849"/>
  <c r="AE849"/>
  <c r="M895"/>
  <c r="U895"/>
  <c r="AC895"/>
  <c r="L849"/>
  <c r="T849"/>
  <c r="AB849"/>
  <c r="N895"/>
  <c r="V895"/>
  <c r="AC1095"/>
  <c r="Y1095"/>
  <c r="U1095"/>
  <c r="Q1095"/>
  <c r="M1095"/>
  <c r="I1095"/>
  <c r="AB1056"/>
  <c r="X1056"/>
  <c r="T1056"/>
  <c r="P1056"/>
  <c r="L1056"/>
  <c r="H1056"/>
  <c r="AB1095"/>
  <c r="X1095"/>
  <c r="T1095"/>
  <c r="P1095"/>
  <c r="L1095"/>
  <c r="H1095"/>
  <c r="AC1056"/>
  <c r="Y1056"/>
  <c r="U1056"/>
  <c r="Q1056"/>
  <c r="M1056"/>
  <c r="I1056"/>
  <c r="AE1095"/>
  <c r="AA1095"/>
  <c r="W1095"/>
  <c r="S1095"/>
  <c r="O1095"/>
  <c r="K1095"/>
  <c r="AD1056"/>
  <c r="Z1056"/>
  <c r="V1056"/>
  <c r="R1056"/>
  <c r="N1056"/>
  <c r="J1056"/>
  <c r="AD1095"/>
  <c r="Z1095"/>
  <c r="V1095"/>
  <c r="R1095"/>
  <c r="N1095"/>
  <c r="J1095"/>
  <c r="AE1056"/>
  <c r="AA1056"/>
  <c r="W1056"/>
  <c r="S1056"/>
  <c r="O1056"/>
  <c r="K1056"/>
  <c r="AD1123"/>
  <c r="M1077"/>
  <c r="U1077"/>
  <c r="AC1077"/>
  <c r="L1077"/>
  <c r="T1077"/>
  <c r="AB1077"/>
  <c r="M1123"/>
  <c r="U1123"/>
  <c r="AC1123"/>
  <c r="L1123"/>
  <c r="T1123"/>
  <c r="AB1123"/>
  <c r="O1077"/>
  <c r="W1077"/>
  <c r="AE1077"/>
  <c r="N1077"/>
  <c r="V1077"/>
  <c r="AD1077"/>
  <c r="O1123"/>
  <c r="W1123"/>
  <c r="AE1123"/>
  <c r="N1123"/>
  <c r="V1123"/>
  <c r="I1077"/>
  <c r="Q1077"/>
  <c r="Y1077"/>
  <c r="H1077"/>
  <c r="P1077"/>
  <c r="X1077"/>
  <c r="I1123"/>
  <c r="Q1123"/>
  <c r="Y1123"/>
  <c r="H1123"/>
  <c r="P1123"/>
  <c r="X1123"/>
  <c r="K1077"/>
  <c r="S1077"/>
  <c r="AA1077"/>
  <c r="J1077"/>
  <c r="R1077"/>
  <c r="Z1077"/>
  <c r="K1123"/>
  <c r="S1123"/>
  <c r="AA1123"/>
  <c r="J1123"/>
  <c r="R1123"/>
  <c r="Z1123"/>
  <c r="AE753"/>
  <c r="AA753"/>
  <c r="W753"/>
  <c r="S753"/>
  <c r="O753"/>
  <c r="K753"/>
  <c r="AD714"/>
  <c r="Z714"/>
  <c r="V714"/>
  <c r="R714"/>
  <c r="N714"/>
  <c r="J714"/>
  <c r="AD753"/>
  <c r="Z753"/>
  <c r="V753"/>
  <c r="R753"/>
  <c r="N753"/>
  <c r="J753"/>
  <c r="AE714"/>
  <c r="AA714"/>
  <c r="W714"/>
  <c r="S714"/>
  <c r="O714"/>
  <c r="K714"/>
  <c r="AC753"/>
  <c r="Y753"/>
  <c r="U753"/>
  <c r="Q753"/>
  <c r="M753"/>
  <c r="I753"/>
  <c r="AB714"/>
  <c r="X714"/>
  <c r="T714"/>
  <c r="P714"/>
  <c r="L714"/>
  <c r="H714"/>
  <c r="AB753"/>
  <c r="X753"/>
  <c r="T753"/>
  <c r="P753"/>
  <c r="L753"/>
  <c r="H753"/>
  <c r="AC714"/>
  <c r="Y714"/>
  <c r="U714"/>
  <c r="Q714"/>
  <c r="M714"/>
  <c r="I714"/>
  <c r="AB781"/>
  <c r="O735"/>
  <c r="W735"/>
  <c r="AE735"/>
  <c r="M781"/>
  <c r="U781"/>
  <c r="AC781"/>
  <c r="H735"/>
  <c r="P735"/>
  <c r="X735"/>
  <c r="J781"/>
  <c r="R781"/>
  <c r="Z781"/>
  <c r="I735"/>
  <c r="Q735"/>
  <c r="Y735"/>
  <c r="K781"/>
  <c r="S781"/>
  <c r="AA781"/>
  <c r="J735"/>
  <c r="R735"/>
  <c r="Z735"/>
  <c r="H781"/>
  <c r="P781"/>
  <c r="X781"/>
  <c r="K735"/>
  <c r="S735"/>
  <c r="AA735"/>
  <c r="I781"/>
  <c r="Q781"/>
  <c r="Y781"/>
  <c r="L735"/>
  <c r="T735"/>
  <c r="AB735"/>
  <c r="N781"/>
  <c r="V781"/>
  <c r="AD781"/>
  <c r="M735"/>
  <c r="U735"/>
  <c r="AC735"/>
  <c r="O781"/>
  <c r="W781"/>
  <c r="AE781"/>
  <c r="N735"/>
  <c r="V735"/>
  <c r="AD735"/>
  <c r="L781"/>
  <c r="T781"/>
  <c r="G1161"/>
  <c r="G1162"/>
  <c r="J114" i="2"/>
  <c r="G168" i="4"/>
  <c r="G169"/>
  <c r="F106" i="2"/>
  <c r="J111" i="4"/>
  <c r="Q111"/>
  <c r="J107"/>
  <c r="Q107"/>
  <c r="J113"/>
  <c r="Q113"/>
  <c r="J109"/>
  <c r="Q109"/>
  <c r="J112"/>
  <c r="Q112"/>
  <c r="J108"/>
  <c r="Q108"/>
  <c r="J110"/>
  <c r="Q110"/>
  <c r="L22" i="2"/>
  <c r="L24"/>
  <c r="M22"/>
  <c r="M24"/>
  <c r="N22"/>
  <c r="N24"/>
  <c r="O22"/>
  <c r="O24"/>
  <c r="P22"/>
  <c r="P24"/>
  <c r="Q22"/>
  <c r="Q24"/>
  <c r="R22"/>
  <c r="R24"/>
  <c r="S22"/>
  <c r="S24"/>
  <c r="T22"/>
  <c r="T24"/>
  <c r="U22"/>
  <c r="U24"/>
  <c r="V22"/>
  <c r="V24"/>
  <c r="W22"/>
  <c r="W24"/>
  <c r="G22"/>
  <c r="G24"/>
  <c r="H22"/>
  <c r="H24"/>
  <c r="I22"/>
  <c r="I24"/>
  <c r="J22"/>
  <c r="J24"/>
  <c r="K22"/>
  <c r="K24"/>
  <c r="F88"/>
  <c r="F87"/>
  <c r="H27"/>
  <c r="Z44" i="1"/>
  <c r="Z46"/>
  <c r="Z47"/>
  <c r="Z45"/>
  <c r="J114" i="4"/>
  <c r="Q114"/>
  <c r="G735"/>
  <c r="G745"/>
  <c r="G753"/>
  <c r="G714"/>
  <c r="G715"/>
  <c r="G895"/>
  <c r="G621"/>
  <c r="G631"/>
  <c r="G439"/>
  <c r="G963"/>
  <c r="G973"/>
  <c r="G942"/>
  <c r="G943"/>
  <c r="G981"/>
  <c r="G507"/>
  <c r="G517"/>
  <c r="G553"/>
  <c r="G486"/>
  <c r="G487"/>
  <c r="G525"/>
  <c r="G325"/>
  <c r="G297"/>
  <c r="G258"/>
  <c r="G259"/>
  <c r="G781"/>
  <c r="G1123"/>
  <c r="G1077"/>
  <c r="G1087"/>
  <c r="G1095"/>
  <c r="G1056"/>
  <c r="G1057"/>
  <c r="G849"/>
  <c r="G859"/>
  <c r="G828"/>
  <c r="G829"/>
  <c r="G867"/>
  <c r="G667"/>
  <c r="G600"/>
  <c r="G601"/>
  <c r="G639"/>
  <c r="G393"/>
  <c r="G403"/>
  <c r="G372"/>
  <c r="G373"/>
  <c r="G411"/>
  <c r="G1009"/>
  <c r="G279"/>
  <c r="G289"/>
  <c r="G290"/>
  <c r="F107" i="2"/>
  <c r="F106" i="4"/>
  <c r="O106"/>
  <c r="J1009" i="2"/>
  <c r="L1009"/>
  <c r="N1009"/>
  <c r="K1009"/>
  <c r="O1009"/>
  <c r="Q1009"/>
  <c r="S1009"/>
  <c r="U1009"/>
  <c r="W1009"/>
  <c r="Y1009"/>
  <c r="AA1009"/>
  <c r="AC1009"/>
  <c r="AE1009"/>
  <c r="J981"/>
  <c r="L981"/>
  <c r="N981"/>
  <c r="P981"/>
  <c r="R981"/>
  <c r="T981"/>
  <c r="V981"/>
  <c r="X981"/>
  <c r="Z981"/>
  <c r="AB981"/>
  <c r="AD981"/>
  <c r="H981"/>
  <c r="J963"/>
  <c r="L963"/>
  <c r="N963"/>
  <c r="P963"/>
  <c r="R963"/>
  <c r="T963"/>
  <c r="V963"/>
  <c r="X963"/>
  <c r="Z963"/>
  <c r="AB963"/>
  <c r="AD963"/>
  <c r="H963"/>
  <c r="L942"/>
  <c r="N942"/>
  <c r="P942"/>
  <c r="R942"/>
  <c r="T942"/>
  <c r="V942"/>
  <c r="X942"/>
  <c r="Z942"/>
  <c r="AB942"/>
  <c r="AD942"/>
  <c r="I942"/>
  <c r="H942"/>
  <c r="I1009"/>
  <c r="M1009"/>
  <c r="P1009"/>
  <c r="R1009"/>
  <c r="T1009"/>
  <c r="V1009"/>
  <c r="X1009"/>
  <c r="Z1009"/>
  <c r="AB1009"/>
  <c r="AD1009"/>
  <c r="H1009"/>
  <c r="I981"/>
  <c r="K981"/>
  <c r="M981"/>
  <c r="O981"/>
  <c r="Q981"/>
  <c r="S981"/>
  <c r="U981"/>
  <c r="W981"/>
  <c r="Y981"/>
  <c r="AA981"/>
  <c r="AC981"/>
  <c r="AE981"/>
  <c r="I963"/>
  <c r="K963"/>
  <c r="M963"/>
  <c r="O963"/>
  <c r="Q963"/>
  <c r="S963"/>
  <c r="U963"/>
  <c r="W963"/>
  <c r="Y963"/>
  <c r="AA963"/>
  <c r="AC963"/>
  <c r="AE963"/>
  <c r="K942"/>
  <c r="M942"/>
  <c r="O942"/>
  <c r="Q942"/>
  <c r="S942"/>
  <c r="U942"/>
  <c r="W942"/>
  <c r="Y942"/>
  <c r="AA942"/>
  <c r="AC942"/>
  <c r="AE942"/>
  <c r="J942"/>
  <c r="AD525"/>
  <c r="AB525"/>
  <c r="Z525"/>
  <c r="X525"/>
  <c r="V525"/>
  <c r="T525"/>
  <c r="R525"/>
  <c r="P525"/>
  <c r="N525"/>
  <c r="L525"/>
  <c r="J525"/>
  <c r="J553"/>
  <c r="L553"/>
  <c r="N553"/>
  <c r="P553"/>
  <c r="R553"/>
  <c r="T553"/>
  <c r="V553"/>
  <c r="X553"/>
  <c r="Z553"/>
  <c r="AB553"/>
  <c r="AD553"/>
  <c r="H553"/>
  <c r="I507"/>
  <c r="K507"/>
  <c r="M507"/>
  <c r="O507"/>
  <c r="Q507"/>
  <c r="S507"/>
  <c r="U507"/>
  <c r="W507"/>
  <c r="Y507"/>
  <c r="AA507"/>
  <c r="AC507"/>
  <c r="AE507"/>
  <c r="AE525"/>
  <c r="AC525"/>
  <c r="AA525"/>
  <c r="Y525"/>
  <c r="W525"/>
  <c r="U525"/>
  <c r="S525"/>
  <c r="Q525"/>
  <c r="O525"/>
  <c r="M525"/>
  <c r="K525"/>
  <c r="I525"/>
  <c r="I553"/>
  <c r="K553"/>
  <c r="M553"/>
  <c r="O553"/>
  <c r="Q553"/>
  <c r="S553"/>
  <c r="U553"/>
  <c r="W553"/>
  <c r="Y553"/>
  <c r="AA553"/>
  <c r="AC553"/>
  <c r="AE553"/>
  <c r="H525"/>
  <c r="J507"/>
  <c r="L507"/>
  <c r="N507"/>
  <c r="P507"/>
  <c r="R507"/>
  <c r="T507"/>
  <c r="V507"/>
  <c r="X507"/>
  <c r="Z507"/>
  <c r="AB507"/>
  <c r="AD507"/>
  <c r="H507"/>
  <c r="I1123"/>
  <c r="K1123"/>
  <c r="M1123"/>
  <c r="O1123"/>
  <c r="Q1123"/>
  <c r="S1123"/>
  <c r="U1123"/>
  <c r="W1123"/>
  <c r="Y1123"/>
  <c r="AA1123"/>
  <c r="AC1123"/>
  <c r="AE1123"/>
  <c r="J1095"/>
  <c r="L1095"/>
  <c r="N1095"/>
  <c r="P1095"/>
  <c r="R1095"/>
  <c r="T1095"/>
  <c r="V1095"/>
  <c r="X1095"/>
  <c r="Z1095"/>
  <c r="AB1095"/>
  <c r="AD1095"/>
  <c r="H1095"/>
  <c r="J1077"/>
  <c r="L1077"/>
  <c r="N1077"/>
  <c r="P1077"/>
  <c r="R1077"/>
  <c r="T1077"/>
  <c r="V1077"/>
  <c r="X1077"/>
  <c r="Z1077"/>
  <c r="AB1077"/>
  <c r="AD1077"/>
  <c r="H1077"/>
  <c r="J1056"/>
  <c r="L1056"/>
  <c r="N1056"/>
  <c r="P1056"/>
  <c r="R1056"/>
  <c r="T1056"/>
  <c r="V1056"/>
  <c r="X1056"/>
  <c r="Z1056"/>
  <c r="AB1056"/>
  <c r="AD1056"/>
  <c r="H1056"/>
  <c r="L1123"/>
  <c r="P1123"/>
  <c r="T1123"/>
  <c r="X1123"/>
  <c r="AB1123"/>
  <c r="H1123"/>
  <c r="K1095"/>
  <c r="O1095"/>
  <c r="S1095"/>
  <c r="W1095"/>
  <c r="AA1095"/>
  <c r="AE1095"/>
  <c r="K1077"/>
  <c r="O1077"/>
  <c r="S1077"/>
  <c r="W1077"/>
  <c r="AA1077"/>
  <c r="AE1077"/>
  <c r="K1056"/>
  <c r="O1056"/>
  <c r="S1056"/>
  <c r="W1056"/>
  <c r="AA1056"/>
  <c r="AE1056"/>
  <c r="J1123"/>
  <c r="N1123"/>
  <c r="R1123"/>
  <c r="V1123"/>
  <c r="Z1123"/>
  <c r="AD1123"/>
  <c r="I1095"/>
  <c r="M1095"/>
  <c r="Q1095"/>
  <c r="U1095"/>
  <c r="Y1095"/>
  <c r="AC1095"/>
  <c r="I1077"/>
  <c r="M1077"/>
  <c r="Q1077"/>
  <c r="U1077"/>
  <c r="Y1077"/>
  <c r="AC1077"/>
  <c r="I1056"/>
  <c r="M1056"/>
  <c r="Q1056"/>
  <c r="U1056"/>
  <c r="Y1056"/>
  <c r="AC1056"/>
  <c r="I895"/>
  <c r="K895"/>
  <c r="M895"/>
  <c r="O895"/>
  <c r="Q895"/>
  <c r="S895"/>
  <c r="U895"/>
  <c r="W895"/>
  <c r="Y895"/>
  <c r="AA895"/>
  <c r="AC895"/>
  <c r="AE895"/>
  <c r="K867"/>
  <c r="M867"/>
  <c r="O867"/>
  <c r="Q867"/>
  <c r="S867"/>
  <c r="U867"/>
  <c r="W867"/>
  <c r="Y867"/>
  <c r="AA867"/>
  <c r="AC867"/>
  <c r="AE867"/>
  <c r="H867"/>
  <c r="J895"/>
  <c r="L895"/>
  <c r="N895"/>
  <c r="P895"/>
  <c r="R895"/>
  <c r="T895"/>
  <c r="V895"/>
  <c r="X895"/>
  <c r="Z895"/>
  <c r="AB895"/>
  <c r="AD895"/>
  <c r="H895"/>
  <c r="J867"/>
  <c r="L867"/>
  <c r="N867"/>
  <c r="P867"/>
  <c r="R867"/>
  <c r="T867"/>
  <c r="V867"/>
  <c r="X867"/>
  <c r="Z867"/>
  <c r="AB867"/>
  <c r="AD867"/>
  <c r="I867"/>
  <c r="I849"/>
  <c r="K849"/>
  <c r="M849"/>
  <c r="O849"/>
  <c r="Q849"/>
  <c r="S849"/>
  <c r="U849"/>
  <c r="W849"/>
  <c r="Y849"/>
  <c r="AA849"/>
  <c r="AC849"/>
  <c r="AE849"/>
  <c r="L849"/>
  <c r="P849"/>
  <c r="T849"/>
  <c r="X849"/>
  <c r="AB849"/>
  <c r="H849"/>
  <c r="J828"/>
  <c r="L828"/>
  <c r="N828"/>
  <c r="P828"/>
  <c r="R828"/>
  <c r="T828"/>
  <c r="V828"/>
  <c r="X828"/>
  <c r="Z828"/>
  <c r="AB828"/>
  <c r="AD828"/>
  <c r="H828"/>
  <c r="J849"/>
  <c r="N849"/>
  <c r="R849"/>
  <c r="V849"/>
  <c r="Z849"/>
  <c r="AD849"/>
  <c r="I828"/>
  <c r="K828"/>
  <c r="M828"/>
  <c r="O828"/>
  <c r="Q828"/>
  <c r="S828"/>
  <c r="U828"/>
  <c r="W828"/>
  <c r="Y828"/>
  <c r="AA828"/>
  <c r="AC828"/>
  <c r="AE828"/>
  <c r="I667"/>
  <c r="K667"/>
  <c r="M667"/>
  <c r="O667"/>
  <c r="Q667"/>
  <c r="S667"/>
  <c r="U667"/>
  <c r="W667"/>
  <c r="Y667"/>
  <c r="AA667"/>
  <c r="AC667"/>
  <c r="AE667"/>
  <c r="I639"/>
  <c r="K639"/>
  <c r="M639"/>
  <c r="O639"/>
  <c r="Q639"/>
  <c r="S639"/>
  <c r="U639"/>
  <c r="W639"/>
  <c r="Y639"/>
  <c r="AA639"/>
  <c r="AC639"/>
  <c r="AE639"/>
  <c r="I621"/>
  <c r="K621"/>
  <c r="M621"/>
  <c r="O621"/>
  <c r="Q621"/>
  <c r="S621"/>
  <c r="U621"/>
  <c r="W621"/>
  <c r="Y621"/>
  <c r="AA621"/>
  <c r="AC621"/>
  <c r="AE621"/>
  <c r="J667"/>
  <c r="L667"/>
  <c r="N667"/>
  <c r="P667"/>
  <c r="R667"/>
  <c r="T667"/>
  <c r="V667"/>
  <c r="X667"/>
  <c r="Z667"/>
  <c r="AB667"/>
  <c r="AD667"/>
  <c r="H667"/>
  <c r="J639"/>
  <c r="L639"/>
  <c r="N639"/>
  <c r="P639"/>
  <c r="R639"/>
  <c r="T639"/>
  <c r="V639"/>
  <c r="X639"/>
  <c r="Z639"/>
  <c r="AB639"/>
  <c r="AD639"/>
  <c r="H639"/>
  <c r="J621"/>
  <c r="L621"/>
  <c r="N621"/>
  <c r="P621"/>
  <c r="R621"/>
  <c r="T621"/>
  <c r="V621"/>
  <c r="X621"/>
  <c r="Z621"/>
  <c r="AB621"/>
  <c r="AD621"/>
  <c r="H621"/>
  <c r="J600"/>
  <c r="L600"/>
  <c r="N600"/>
  <c r="P600"/>
  <c r="R600"/>
  <c r="T600"/>
  <c r="V600"/>
  <c r="X600"/>
  <c r="Z600"/>
  <c r="AB600"/>
  <c r="AD600"/>
  <c r="H600"/>
  <c r="I600"/>
  <c r="K600"/>
  <c r="M600"/>
  <c r="O600"/>
  <c r="Q600"/>
  <c r="S600"/>
  <c r="U600"/>
  <c r="W600"/>
  <c r="Y600"/>
  <c r="AA600"/>
  <c r="AC600"/>
  <c r="AE600"/>
  <c r="AE781"/>
  <c r="AC781"/>
  <c r="AA781"/>
  <c r="Y781"/>
  <c r="W781"/>
  <c r="U781"/>
  <c r="S781"/>
  <c r="Q781"/>
  <c r="O781"/>
  <c r="M781"/>
  <c r="K781"/>
  <c r="I781"/>
  <c r="J753"/>
  <c r="L753"/>
  <c r="N753"/>
  <c r="P753"/>
  <c r="R753"/>
  <c r="T753"/>
  <c r="V753"/>
  <c r="X753"/>
  <c r="Z753"/>
  <c r="AB753"/>
  <c r="AD753"/>
  <c r="H753"/>
  <c r="I735"/>
  <c r="K735"/>
  <c r="M735"/>
  <c r="O735"/>
  <c r="Q735"/>
  <c r="S735"/>
  <c r="U735"/>
  <c r="W735"/>
  <c r="Y735"/>
  <c r="AA735"/>
  <c r="AC735"/>
  <c r="AE735"/>
  <c r="J714"/>
  <c r="L714"/>
  <c r="N714"/>
  <c r="P714"/>
  <c r="R714"/>
  <c r="T714"/>
  <c r="V714"/>
  <c r="X714"/>
  <c r="Z714"/>
  <c r="AB714"/>
  <c r="AD714"/>
  <c r="H714"/>
  <c r="AD781"/>
  <c r="AB781"/>
  <c r="Z781"/>
  <c r="X781"/>
  <c r="V781"/>
  <c r="T781"/>
  <c r="R781"/>
  <c r="P781"/>
  <c r="N781"/>
  <c r="L781"/>
  <c r="J781"/>
  <c r="H781"/>
  <c r="I753"/>
  <c r="K753"/>
  <c r="M753"/>
  <c r="O753"/>
  <c r="Q753"/>
  <c r="S753"/>
  <c r="U753"/>
  <c r="W753"/>
  <c r="Y753"/>
  <c r="AA753"/>
  <c r="AC753"/>
  <c r="AE753"/>
  <c r="J735"/>
  <c r="L735"/>
  <c r="N735"/>
  <c r="P735"/>
  <c r="R735"/>
  <c r="T735"/>
  <c r="V735"/>
  <c r="X735"/>
  <c r="Z735"/>
  <c r="AB735"/>
  <c r="AD735"/>
  <c r="H735"/>
  <c r="I714"/>
  <c r="K714"/>
  <c r="M714"/>
  <c r="O714"/>
  <c r="Q714"/>
  <c r="S714"/>
  <c r="U714"/>
  <c r="W714"/>
  <c r="Y714"/>
  <c r="AA714"/>
  <c r="AC714"/>
  <c r="AE714"/>
  <c r="F107" i="4"/>
  <c r="O107"/>
  <c r="Q115"/>
  <c r="AD486" i="2"/>
  <c r="AB486"/>
  <c r="Z486"/>
  <c r="X486"/>
  <c r="V486"/>
  <c r="T486"/>
  <c r="R486"/>
  <c r="P486"/>
  <c r="N486"/>
  <c r="L486"/>
  <c r="J486"/>
  <c r="H486"/>
  <c r="AE486"/>
  <c r="AC486"/>
  <c r="AA486"/>
  <c r="Y486"/>
  <c r="W486"/>
  <c r="U486"/>
  <c r="S486"/>
  <c r="Q486"/>
  <c r="O486"/>
  <c r="M486"/>
  <c r="K486"/>
  <c r="I486"/>
  <c r="I439"/>
  <c r="K439"/>
  <c r="M439"/>
  <c r="O439"/>
  <c r="Q439"/>
  <c r="S439"/>
  <c r="U439"/>
  <c r="W439"/>
  <c r="Y439"/>
  <c r="AA439"/>
  <c r="AC439"/>
  <c r="AE439"/>
  <c r="J411"/>
  <c r="L411"/>
  <c r="N411"/>
  <c r="P411"/>
  <c r="R411"/>
  <c r="T411"/>
  <c r="V411"/>
  <c r="X411"/>
  <c r="Z411"/>
  <c r="AB411"/>
  <c r="AD411"/>
  <c r="H411"/>
  <c r="J439"/>
  <c r="L439"/>
  <c r="N439"/>
  <c r="P439"/>
  <c r="R439"/>
  <c r="T439"/>
  <c r="V439"/>
  <c r="X439"/>
  <c r="Z439"/>
  <c r="AB439"/>
  <c r="AD439"/>
  <c r="H439"/>
  <c r="I411"/>
  <c r="K411"/>
  <c r="M411"/>
  <c r="O411"/>
  <c r="Q411"/>
  <c r="S411"/>
  <c r="U411"/>
  <c r="W411"/>
  <c r="Y411"/>
  <c r="AA411"/>
  <c r="AC411"/>
  <c r="AE411"/>
  <c r="J393"/>
  <c r="L393"/>
  <c r="N393"/>
  <c r="P393"/>
  <c r="R393"/>
  <c r="T393"/>
  <c r="V393"/>
  <c r="X393"/>
  <c r="Z393"/>
  <c r="AB393"/>
  <c r="AD393"/>
  <c r="H393"/>
  <c r="I393"/>
  <c r="K393"/>
  <c r="M393"/>
  <c r="O393"/>
  <c r="Q393"/>
  <c r="S393"/>
  <c r="U393"/>
  <c r="W393"/>
  <c r="Y393"/>
  <c r="AA393"/>
  <c r="AC393"/>
  <c r="AE393"/>
  <c r="J325"/>
  <c r="L325"/>
  <c r="N325"/>
  <c r="P325"/>
  <c r="R325"/>
  <c r="T325"/>
  <c r="V325"/>
  <c r="X325"/>
  <c r="Z325"/>
  <c r="AB325"/>
  <c r="AD325"/>
  <c r="H325"/>
  <c r="J297"/>
  <c r="L297"/>
  <c r="N297"/>
  <c r="P297"/>
  <c r="R297"/>
  <c r="T297"/>
  <c r="V297"/>
  <c r="X297"/>
  <c r="Z297"/>
  <c r="AB297"/>
  <c r="AD297"/>
  <c r="H297"/>
  <c r="I325"/>
  <c r="K325"/>
  <c r="M325"/>
  <c r="O325"/>
  <c r="Q325"/>
  <c r="S325"/>
  <c r="U325"/>
  <c r="W325"/>
  <c r="Y325"/>
  <c r="AA325"/>
  <c r="AC325"/>
  <c r="AE325"/>
  <c r="I297"/>
  <c r="K297"/>
  <c r="M297"/>
  <c r="O297"/>
  <c r="Q297"/>
  <c r="S297"/>
  <c r="U297"/>
  <c r="W297"/>
  <c r="Y297"/>
  <c r="AA297"/>
  <c r="AC297"/>
  <c r="AE297"/>
  <c r="I279"/>
  <c r="K279"/>
  <c r="M279"/>
  <c r="O279"/>
  <c r="Q279"/>
  <c r="S279"/>
  <c r="U279"/>
  <c r="W279"/>
  <c r="Y279"/>
  <c r="AA279"/>
  <c r="AC279"/>
  <c r="AE279"/>
  <c r="J279"/>
  <c r="L279"/>
  <c r="N279"/>
  <c r="P279"/>
  <c r="R279"/>
  <c r="T279"/>
  <c r="V279"/>
  <c r="X279"/>
  <c r="Z279"/>
  <c r="AB279"/>
  <c r="AD279"/>
  <c r="H279"/>
  <c r="H158"/>
  <c r="J211"/>
  <c r="L211"/>
  <c r="N211"/>
  <c r="P211"/>
  <c r="R211"/>
  <c r="T211"/>
  <c r="V211"/>
  <c r="X211"/>
  <c r="Z211"/>
  <c r="AB211"/>
  <c r="AD211"/>
  <c r="H211"/>
  <c r="I211"/>
  <c r="K211"/>
  <c r="M211"/>
  <c r="O211"/>
  <c r="Q211"/>
  <c r="S211"/>
  <c r="U211"/>
  <c r="W211"/>
  <c r="Y211"/>
  <c r="AA211"/>
  <c r="AC211"/>
  <c r="AE211"/>
  <c r="J158"/>
  <c r="N158"/>
  <c r="R158"/>
  <c r="V158"/>
  <c r="Z158"/>
  <c r="AD158"/>
  <c r="I158"/>
  <c r="L158"/>
  <c r="P158"/>
  <c r="T158"/>
  <c r="X158"/>
  <c r="AB158"/>
  <c r="AC158"/>
  <c r="Y158"/>
  <c r="U158"/>
  <c r="Q158"/>
  <c r="M158"/>
  <c r="AE158"/>
  <c r="AA158"/>
  <c r="W158"/>
  <c r="S158"/>
  <c r="O158"/>
  <c r="K158"/>
  <c r="I372"/>
  <c r="K372"/>
  <c r="M372"/>
  <c r="O372"/>
  <c r="Q372"/>
  <c r="S372"/>
  <c r="U372"/>
  <c r="W372"/>
  <c r="Y372"/>
  <c r="AA372"/>
  <c r="AC372"/>
  <c r="AE372"/>
  <c r="J372"/>
  <c r="L372"/>
  <c r="N372"/>
  <c r="P372"/>
  <c r="R372"/>
  <c r="T372"/>
  <c r="V372"/>
  <c r="X372"/>
  <c r="Z372"/>
  <c r="AB372"/>
  <c r="AD372"/>
  <c r="H372"/>
  <c r="J258"/>
  <c r="L258"/>
  <c r="N258"/>
  <c r="P258"/>
  <c r="R258"/>
  <c r="T258"/>
  <c r="V258"/>
  <c r="X258"/>
  <c r="Z258"/>
  <c r="AB258"/>
  <c r="AD258"/>
  <c r="H258"/>
  <c r="I258"/>
  <c r="K258"/>
  <c r="M258"/>
  <c r="O258"/>
  <c r="Q258"/>
  <c r="S258"/>
  <c r="U258"/>
  <c r="W258"/>
  <c r="Y258"/>
  <c r="AA258"/>
  <c r="AC258"/>
  <c r="AE258"/>
  <c r="J182"/>
  <c r="L182"/>
  <c r="N182"/>
  <c r="P182"/>
  <c r="R182"/>
  <c r="T182"/>
  <c r="V182"/>
  <c r="X182"/>
  <c r="Z182"/>
  <c r="AB182"/>
  <c r="AD182"/>
  <c r="H182"/>
  <c r="J131"/>
  <c r="L131"/>
  <c r="N131"/>
  <c r="P131"/>
  <c r="R131"/>
  <c r="T131"/>
  <c r="V131"/>
  <c r="X131"/>
  <c r="Z131"/>
  <c r="AB131"/>
  <c r="AD131"/>
  <c r="H131"/>
  <c r="I182"/>
  <c r="K182"/>
  <c r="M182"/>
  <c r="O182"/>
  <c r="Q182"/>
  <c r="S182"/>
  <c r="U182"/>
  <c r="W182"/>
  <c r="Y182"/>
  <c r="AA182"/>
  <c r="AC182"/>
  <c r="AE182"/>
  <c r="I131"/>
  <c r="K131"/>
  <c r="M131"/>
  <c r="O131"/>
  <c r="Q131"/>
  <c r="S131"/>
  <c r="U131"/>
  <c r="W131"/>
  <c r="Y131"/>
  <c r="AA131"/>
  <c r="AC131"/>
  <c r="AE131"/>
  <c r="H62" i="1"/>
  <c r="F57"/>
  <c r="G57"/>
  <c r="H57"/>
  <c r="I57"/>
  <c r="K57"/>
  <c r="L57"/>
  <c r="M57"/>
  <c r="N57"/>
  <c r="O57"/>
  <c r="P57"/>
  <c r="Q57"/>
  <c r="R57"/>
  <c r="S57"/>
  <c r="T57"/>
  <c r="U57"/>
  <c r="V57"/>
  <c r="W57"/>
  <c r="J57"/>
  <c r="F20" i="2"/>
  <c r="F7"/>
  <c r="F9"/>
  <c r="F15"/>
  <c r="F17"/>
  <c r="F6"/>
  <c r="A97"/>
  <c r="C114"/>
  <c r="B114"/>
  <c r="F24"/>
  <c r="H28"/>
  <c r="H28" i="4"/>
  <c r="G525" i="2"/>
  <c r="G404" i="4"/>
  <c r="F108" i="2"/>
  <c r="G860" i="4"/>
  <c r="F112"/>
  <c r="O112"/>
  <c r="G781" i="2"/>
  <c r="G1088" i="4"/>
  <c r="G974"/>
  <c r="G632"/>
  <c r="G746"/>
  <c r="F112" i="2"/>
  <c r="G518" i="4"/>
  <c r="G753" i="2"/>
  <c r="G639"/>
  <c r="G867"/>
  <c r="G895"/>
  <c r="G1123"/>
  <c r="G1095"/>
  <c r="G1009"/>
  <c r="G981"/>
  <c r="I1125"/>
  <c r="K1125"/>
  <c r="M1125"/>
  <c r="O1125"/>
  <c r="Q1125"/>
  <c r="S1125"/>
  <c r="U1125"/>
  <c r="W1125"/>
  <c r="Y1125"/>
  <c r="AA1125"/>
  <c r="AC1125"/>
  <c r="AE1125"/>
  <c r="J1155"/>
  <c r="L1155"/>
  <c r="N1155"/>
  <c r="P1155"/>
  <c r="R1155"/>
  <c r="T1155"/>
  <c r="V1155"/>
  <c r="X1155"/>
  <c r="Z1155"/>
  <c r="AB1155"/>
  <c r="AD1155"/>
  <c r="H1155"/>
  <c r="J1041"/>
  <c r="L1041"/>
  <c r="N1041"/>
  <c r="P1041"/>
  <c r="R1041"/>
  <c r="T1041"/>
  <c r="V1041"/>
  <c r="X1041"/>
  <c r="Z1041"/>
  <c r="AB1041"/>
  <c r="AD1041"/>
  <c r="H1041"/>
  <c r="L1125"/>
  <c r="P1125"/>
  <c r="T1125"/>
  <c r="X1125"/>
  <c r="AB1125"/>
  <c r="H1125"/>
  <c r="K1155"/>
  <c r="O1155"/>
  <c r="S1155"/>
  <c r="W1155"/>
  <c r="AA1155"/>
  <c r="AE1155"/>
  <c r="I1041"/>
  <c r="M1041"/>
  <c r="Q1041"/>
  <c r="U1041"/>
  <c r="Y1041"/>
  <c r="AC1041"/>
  <c r="J1125"/>
  <c r="N1125"/>
  <c r="R1125"/>
  <c r="V1125"/>
  <c r="Z1125"/>
  <c r="AD1125"/>
  <c r="I1155"/>
  <c r="M1155"/>
  <c r="Q1155"/>
  <c r="U1155"/>
  <c r="Y1155"/>
  <c r="AC1155"/>
  <c r="K1041"/>
  <c r="O1041"/>
  <c r="S1041"/>
  <c r="W1041"/>
  <c r="AA1041"/>
  <c r="AE1041"/>
  <c r="J1011"/>
  <c r="L1011"/>
  <c r="N1011"/>
  <c r="P1011"/>
  <c r="R1011"/>
  <c r="T1011"/>
  <c r="V1011"/>
  <c r="X1011"/>
  <c r="Z1011"/>
  <c r="AB1011"/>
  <c r="AD1011"/>
  <c r="H1011"/>
  <c r="K1011"/>
  <c r="O1011"/>
  <c r="S1011"/>
  <c r="W1011"/>
  <c r="AA1011"/>
  <c r="AE1011"/>
  <c r="I927"/>
  <c r="K927"/>
  <c r="M927"/>
  <c r="O927"/>
  <c r="Q927"/>
  <c r="S927"/>
  <c r="U927"/>
  <c r="W927"/>
  <c r="Y927"/>
  <c r="AA927"/>
  <c r="AC927"/>
  <c r="AE927"/>
  <c r="I897"/>
  <c r="K897"/>
  <c r="M897"/>
  <c r="O897"/>
  <c r="Q897"/>
  <c r="S897"/>
  <c r="U897"/>
  <c r="W897"/>
  <c r="Y897"/>
  <c r="AA897"/>
  <c r="AC897"/>
  <c r="AE897"/>
  <c r="I1011"/>
  <c r="M1011"/>
  <c r="Q1011"/>
  <c r="U1011"/>
  <c r="Y1011"/>
  <c r="AC1011"/>
  <c r="J927"/>
  <c r="L927"/>
  <c r="N927"/>
  <c r="P927"/>
  <c r="R927"/>
  <c r="T927"/>
  <c r="V927"/>
  <c r="X927"/>
  <c r="Z927"/>
  <c r="AB927"/>
  <c r="AD927"/>
  <c r="H927"/>
  <c r="J897"/>
  <c r="L897"/>
  <c r="N897"/>
  <c r="P897"/>
  <c r="R897"/>
  <c r="T897"/>
  <c r="V897"/>
  <c r="X897"/>
  <c r="Z897"/>
  <c r="AB897"/>
  <c r="AD897"/>
  <c r="H897"/>
  <c r="I813"/>
  <c r="K813"/>
  <c r="M813"/>
  <c r="O813"/>
  <c r="Q813"/>
  <c r="S813"/>
  <c r="U813"/>
  <c r="W813"/>
  <c r="Y813"/>
  <c r="AA813"/>
  <c r="AC813"/>
  <c r="AE813"/>
  <c r="I783"/>
  <c r="K783"/>
  <c r="M783"/>
  <c r="O783"/>
  <c r="Q783"/>
  <c r="S783"/>
  <c r="U783"/>
  <c r="W783"/>
  <c r="Y783"/>
  <c r="AA783"/>
  <c r="AC783"/>
  <c r="AE783"/>
  <c r="AD1137"/>
  <c r="AB1137"/>
  <c r="Z1137"/>
  <c r="X1137"/>
  <c r="V1137"/>
  <c r="T1137"/>
  <c r="R1137"/>
  <c r="P1137"/>
  <c r="N1137"/>
  <c r="L1137"/>
  <c r="J1137"/>
  <c r="H1137"/>
  <c r="AD1097"/>
  <c r="AB1097"/>
  <c r="Z1097"/>
  <c r="X1097"/>
  <c r="V1097"/>
  <c r="T1097"/>
  <c r="R1097"/>
  <c r="P1097"/>
  <c r="N1097"/>
  <c r="L1097"/>
  <c r="J1097"/>
  <c r="H1097"/>
  <c r="E1097"/>
  <c r="AD1023"/>
  <c r="AB1023"/>
  <c r="Z1023"/>
  <c r="X1023"/>
  <c r="V1023"/>
  <c r="T1023"/>
  <c r="R1023"/>
  <c r="P1023"/>
  <c r="N1023"/>
  <c r="L1023"/>
  <c r="J1023"/>
  <c r="H1023"/>
  <c r="AE983"/>
  <c r="AC983"/>
  <c r="AA983"/>
  <c r="Y983"/>
  <c r="W983"/>
  <c r="U983"/>
  <c r="S983"/>
  <c r="Q983"/>
  <c r="O983"/>
  <c r="M983"/>
  <c r="K983"/>
  <c r="I983"/>
  <c r="AE909"/>
  <c r="AC909"/>
  <c r="AA909"/>
  <c r="Y909"/>
  <c r="W909"/>
  <c r="U909"/>
  <c r="S909"/>
  <c r="Q909"/>
  <c r="O909"/>
  <c r="M909"/>
  <c r="K909"/>
  <c r="I909"/>
  <c r="E897"/>
  <c r="AD869"/>
  <c r="AB869"/>
  <c r="Z869"/>
  <c r="X869"/>
  <c r="V869"/>
  <c r="T869"/>
  <c r="R869"/>
  <c r="P869"/>
  <c r="N869"/>
  <c r="L869"/>
  <c r="J869"/>
  <c r="H869"/>
  <c r="AD795"/>
  <c r="AB795"/>
  <c r="Z795"/>
  <c r="X795"/>
  <c r="V795"/>
  <c r="T795"/>
  <c r="R795"/>
  <c r="P795"/>
  <c r="N795"/>
  <c r="L795"/>
  <c r="J795"/>
  <c r="H795"/>
  <c r="AE755"/>
  <c r="AC755"/>
  <c r="AA755"/>
  <c r="Y755"/>
  <c r="W755"/>
  <c r="U755"/>
  <c r="S755"/>
  <c r="Q755"/>
  <c r="O755"/>
  <c r="M755"/>
  <c r="K755"/>
  <c r="I755"/>
  <c r="I699"/>
  <c r="K699"/>
  <c r="M699"/>
  <c r="O699"/>
  <c r="Q699"/>
  <c r="S699"/>
  <c r="U699"/>
  <c r="W699"/>
  <c r="Y699"/>
  <c r="AA699"/>
  <c r="AC699"/>
  <c r="AE699"/>
  <c r="I669"/>
  <c r="K669"/>
  <c r="M669"/>
  <c r="O669"/>
  <c r="Q669"/>
  <c r="S669"/>
  <c r="U669"/>
  <c r="W669"/>
  <c r="Y669"/>
  <c r="AA669"/>
  <c r="AC669"/>
  <c r="AE669"/>
  <c r="J813"/>
  <c r="L813"/>
  <c r="N813"/>
  <c r="P813"/>
  <c r="R813"/>
  <c r="T813"/>
  <c r="V813"/>
  <c r="X813"/>
  <c r="Z813"/>
  <c r="AB813"/>
  <c r="AD813"/>
  <c r="H813"/>
  <c r="J783"/>
  <c r="L783"/>
  <c r="N783"/>
  <c r="P783"/>
  <c r="R783"/>
  <c r="T783"/>
  <c r="V783"/>
  <c r="X783"/>
  <c r="Z783"/>
  <c r="AB783"/>
  <c r="AD783"/>
  <c r="H783"/>
  <c r="AE1137"/>
  <c r="AC1137"/>
  <c r="AA1137"/>
  <c r="Y1137"/>
  <c r="W1137"/>
  <c r="U1137"/>
  <c r="S1137"/>
  <c r="Q1137"/>
  <c r="O1137"/>
  <c r="M1137"/>
  <c r="K1137"/>
  <c r="I1137"/>
  <c r="E1125"/>
  <c r="AE1097"/>
  <c r="AC1097"/>
  <c r="AA1097"/>
  <c r="Y1097"/>
  <c r="W1097"/>
  <c r="U1097"/>
  <c r="S1097"/>
  <c r="Q1097"/>
  <c r="O1097"/>
  <c r="M1097"/>
  <c r="K1097"/>
  <c r="I1097"/>
  <c r="AE1023"/>
  <c r="AC1023"/>
  <c r="AA1023"/>
  <c r="Y1023"/>
  <c r="W1023"/>
  <c r="U1023"/>
  <c r="S1023"/>
  <c r="Q1023"/>
  <c r="O1023"/>
  <c r="M1023"/>
  <c r="K1023"/>
  <c r="I1023"/>
  <c r="E1011"/>
  <c r="AD983"/>
  <c r="AB983"/>
  <c r="Z983"/>
  <c r="X983"/>
  <c r="V983"/>
  <c r="T983"/>
  <c r="R983"/>
  <c r="P983"/>
  <c r="N983"/>
  <c r="L983"/>
  <c r="J983"/>
  <c r="H983"/>
  <c r="E983"/>
  <c r="AD909"/>
  <c r="AB909"/>
  <c r="Z909"/>
  <c r="X909"/>
  <c r="V909"/>
  <c r="T909"/>
  <c r="R909"/>
  <c r="P909"/>
  <c r="N909"/>
  <c r="L909"/>
  <c r="J909"/>
  <c r="H909"/>
  <c r="AE869"/>
  <c r="AC869"/>
  <c r="AA869"/>
  <c r="Y869"/>
  <c r="W869"/>
  <c r="U869"/>
  <c r="S869"/>
  <c r="Q869"/>
  <c r="O869"/>
  <c r="M869"/>
  <c r="K869"/>
  <c r="I869"/>
  <c r="E869"/>
  <c r="AE795"/>
  <c r="AC795"/>
  <c r="AA795"/>
  <c r="Y795"/>
  <c r="W795"/>
  <c r="U795"/>
  <c r="S795"/>
  <c r="Q795"/>
  <c r="O795"/>
  <c r="M795"/>
  <c r="K795"/>
  <c r="I795"/>
  <c r="E783"/>
  <c r="AD755"/>
  <c r="AB755"/>
  <c r="Z755"/>
  <c r="X755"/>
  <c r="V755"/>
  <c r="T755"/>
  <c r="R755"/>
  <c r="P755"/>
  <c r="N755"/>
  <c r="L755"/>
  <c r="J755"/>
  <c r="H755"/>
  <c r="E755"/>
  <c r="J699"/>
  <c r="L699"/>
  <c r="N699"/>
  <c r="P699"/>
  <c r="R699"/>
  <c r="T699"/>
  <c r="V699"/>
  <c r="X699"/>
  <c r="Z699"/>
  <c r="AB699"/>
  <c r="AD699"/>
  <c r="H699"/>
  <c r="J669"/>
  <c r="L669"/>
  <c r="N669"/>
  <c r="P669"/>
  <c r="R669"/>
  <c r="T669"/>
  <c r="V669"/>
  <c r="X669"/>
  <c r="Z669"/>
  <c r="AB669"/>
  <c r="AD669"/>
  <c r="H669"/>
  <c r="AD681"/>
  <c r="AB681"/>
  <c r="Z681"/>
  <c r="X681"/>
  <c r="V681"/>
  <c r="T681"/>
  <c r="R681"/>
  <c r="P681"/>
  <c r="N681"/>
  <c r="L681"/>
  <c r="J681"/>
  <c r="H681"/>
  <c r="AE641"/>
  <c r="AC641"/>
  <c r="AA641"/>
  <c r="Y641"/>
  <c r="W641"/>
  <c r="U641"/>
  <c r="S641"/>
  <c r="Q641"/>
  <c r="O641"/>
  <c r="M641"/>
  <c r="K641"/>
  <c r="I641"/>
  <c r="E641"/>
  <c r="J585"/>
  <c r="L585"/>
  <c r="N585"/>
  <c r="P585"/>
  <c r="R585"/>
  <c r="T585"/>
  <c r="V585"/>
  <c r="X585"/>
  <c r="Z585"/>
  <c r="AB585"/>
  <c r="AD585"/>
  <c r="H585"/>
  <c r="J555"/>
  <c r="L555"/>
  <c r="N555"/>
  <c r="P555"/>
  <c r="R555"/>
  <c r="T555"/>
  <c r="V555"/>
  <c r="X555"/>
  <c r="Z555"/>
  <c r="AB555"/>
  <c r="AD555"/>
  <c r="H555"/>
  <c r="AE567"/>
  <c r="AC567"/>
  <c r="AA567"/>
  <c r="Y567"/>
  <c r="W567"/>
  <c r="U567"/>
  <c r="S567"/>
  <c r="Q567"/>
  <c r="O567"/>
  <c r="M567"/>
  <c r="K567"/>
  <c r="I567"/>
  <c r="E555"/>
  <c r="AD527"/>
  <c r="AB527"/>
  <c r="Z527"/>
  <c r="X527"/>
  <c r="V527"/>
  <c r="T527"/>
  <c r="R527"/>
  <c r="P527"/>
  <c r="N527"/>
  <c r="L527"/>
  <c r="J527"/>
  <c r="H527"/>
  <c r="AE681"/>
  <c r="AC681"/>
  <c r="AA681"/>
  <c r="Y681"/>
  <c r="W681"/>
  <c r="U681"/>
  <c r="S681"/>
  <c r="Q681"/>
  <c r="O681"/>
  <c r="M681"/>
  <c r="K681"/>
  <c r="I681"/>
  <c r="E669"/>
  <c r="AD641"/>
  <c r="AB641"/>
  <c r="Z641"/>
  <c r="X641"/>
  <c r="V641"/>
  <c r="T641"/>
  <c r="R641"/>
  <c r="P641"/>
  <c r="N641"/>
  <c r="L641"/>
  <c r="J641"/>
  <c r="H641"/>
  <c r="I585"/>
  <c r="K585"/>
  <c r="M585"/>
  <c r="O585"/>
  <c r="Q585"/>
  <c r="S585"/>
  <c r="U585"/>
  <c r="W585"/>
  <c r="Y585"/>
  <c r="AA585"/>
  <c r="AC585"/>
  <c r="AE585"/>
  <c r="I555"/>
  <c r="K555"/>
  <c r="M555"/>
  <c r="O555"/>
  <c r="Q555"/>
  <c r="S555"/>
  <c r="U555"/>
  <c r="W555"/>
  <c r="Y555"/>
  <c r="AA555"/>
  <c r="AC555"/>
  <c r="AE555"/>
  <c r="AD567"/>
  <c r="AB567"/>
  <c r="Z567"/>
  <c r="X567"/>
  <c r="V567"/>
  <c r="T567"/>
  <c r="R567"/>
  <c r="P567"/>
  <c r="N567"/>
  <c r="L567"/>
  <c r="J567"/>
  <c r="H567"/>
  <c r="AE527"/>
  <c r="AC527"/>
  <c r="AA527"/>
  <c r="Y527"/>
  <c r="W527"/>
  <c r="U527"/>
  <c r="S527"/>
  <c r="Q527"/>
  <c r="O527"/>
  <c r="M527"/>
  <c r="K527"/>
  <c r="I527"/>
  <c r="E527"/>
  <c r="AD1157"/>
  <c r="AB1157"/>
  <c r="Z1157"/>
  <c r="X1157"/>
  <c r="V1157"/>
  <c r="T1157"/>
  <c r="R1157"/>
  <c r="P1157"/>
  <c r="N1157"/>
  <c r="L1157"/>
  <c r="J1157"/>
  <c r="H1157"/>
  <c r="AD1127"/>
  <c r="AB1127"/>
  <c r="Z1127"/>
  <c r="X1127"/>
  <c r="V1127"/>
  <c r="T1127"/>
  <c r="R1127"/>
  <c r="P1127"/>
  <c r="N1127"/>
  <c r="L1127"/>
  <c r="J1127"/>
  <c r="H1127"/>
  <c r="AE1083"/>
  <c r="AC1083"/>
  <c r="AA1083"/>
  <c r="Y1083"/>
  <c r="W1083"/>
  <c r="U1083"/>
  <c r="S1083"/>
  <c r="Q1083"/>
  <c r="O1083"/>
  <c r="M1083"/>
  <c r="K1083"/>
  <c r="I1083"/>
  <c r="AD1043"/>
  <c r="AB1043"/>
  <c r="Z1043"/>
  <c r="X1043"/>
  <c r="V1043"/>
  <c r="T1043"/>
  <c r="R1043"/>
  <c r="P1043"/>
  <c r="N1043"/>
  <c r="L1043"/>
  <c r="J1043"/>
  <c r="H1043"/>
  <c r="AD1013"/>
  <c r="AB1013"/>
  <c r="Z1013"/>
  <c r="X1013"/>
  <c r="V1013"/>
  <c r="T1013"/>
  <c r="R1013"/>
  <c r="P1013"/>
  <c r="N1013"/>
  <c r="L1013"/>
  <c r="J1013"/>
  <c r="H1013"/>
  <c r="AD969"/>
  <c r="AB969"/>
  <c r="Z969"/>
  <c r="X969"/>
  <c r="V969"/>
  <c r="T969"/>
  <c r="R969"/>
  <c r="P969"/>
  <c r="N969"/>
  <c r="L969"/>
  <c r="J969"/>
  <c r="H969"/>
  <c r="AE929"/>
  <c r="AC929"/>
  <c r="AA929"/>
  <c r="Y929"/>
  <c r="W929"/>
  <c r="U929"/>
  <c r="S929"/>
  <c r="Q929"/>
  <c r="O929"/>
  <c r="M929"/>
  <c r="K929"/>
  <c r="I929"/>
  <c r="AD899"/>
  <c r="AB899"/>
  <c r="Z899"/>
  <c r="X899"/>
  <c r="V899"/>
  <c r="T899"/>
  <c r="R899"/>
  <c r="P899"/>
  <c r="N899"/>
  <c r="L899"/>
  <c r="J899"/>
  <c r="H899"/>
  <c r="AD855"/>
  <c r="AB855"/>
  <c r="Z855"/>
  <c r="X855"/>
  <c r="V855"/>
  <c r="T855"/>
  <c r="R855"/>
  <c r="P855"/>
  <c r="N855"/>
  <c r="L855"/>
  <c r="J855"/>
  <c r="H855"/>
  <c r="AD815"/>
  <c r="AB815"/>
  <c r="Z815"/>
  <c r="X815"/>
  <c r="V815"/>
  <c r="T815"/>
  <c r="R815"/>
  <c r="P815"/>
  <c r="N815"/>
  <c r="L815"/>
  <c r="J815"/>
  <c r="H815"/>
  <c r="AE785"/>
  <c r="AC785"/>
  <c r="AA785"/>
  <c r="Y785"/>
  <c r="W785"/>
  <c r="U785"/>
  <c r="S785"/>
  <c r="Q785"/>
  <c r="O785"/>
  <c r="M785"/>
  <c r="K785"/>
  <c r="I785"/>
  <c r="AD741"/>
  <c r="AB741"/>
  <c r="Z741"/>
  <c r="X741"/>
  <c r="V741"/>
  <c r="T741"/>
  <c r="R741"/>
  <c r="P741"/>
  <c r="N741"/>
  <c r="L741"/>
  <c r="J741"/>
  <c r="H741"/>
  <c r="AE1157"/>
  <c r="AC1157"/>
  <c r="AA1157"/>
  <c r="Y1157"/>
  <c r="W1157"/>
  <c r="U1157"/>
  <c r="S1157"/>
  <c r="Q1157"/>
  <c r="O1157"/>
  <c r="M1157"/>
  <c r="K1157"/>
  <c r="I1157"/>
  <c r="AE1127"/>
  <c r="AC1127"/>
  <c r="AA1127"/>
  <c r="Y1127"/>
  <c r="W1127"/>
  <c r="U1127"/>
  <c r="S1127"/>
  <c r="Q1127"/>
  <c r="O1127"/>
  <c r="M1127"/>
  <c r="K1127"/>
  <c r="I1127"/>
  <c r="AD1083"/>
  <c r="AB1083"/>
  <c r="Z1083"/>
  <c r="X1083"/>
  <c r="V1083"/>
  <c r="T1083"/>
  <c r="R1083"/>
  <c r="P1083"/>
  <c r="N1083"/>
  <c r="L1083"/>
  <c r="J1083"/>
  <c r="H1083"/>
  <c r="AE1043"/>
  <c r="AC1043"/>
  <c r="AA1043"/>
  <c r="Y1043"/>
  <c r="W1043"/>
  <c r="U1043"/>
  <c r="S1043"/>
  <c r="Q1043"/>
  <c r="O1043"/>
  <c r="M1043"/>
  <c r="K1043"/>
  <c r="I1043"/>
  <c r="AE1013"/>
  <c r="AC1013"/>
  <c r="AA1013"/>
  <c r="Y1013"/>
  <c r="W1013"/>
  <c r="U1013"/>
  <c r="S1013"/>
  <c r="Q1013"/>
  <c r="O1013"/>
  <c r="M1013"/>
  <c r="K1013"/>
  <c r="I1013"/>
  <c r="AE969"/>
  <c r="AC969"/>
  <c r="AA969"/>
  <c r="Y969"/>
  <c r="W969"/>
  <c r="U969"/>
  <c r="S969"/>
  <c r="Q969"/>
  <c r="O969"/>
  <c r="M969"/>
  <c r="K969"/>
  <c r="I969"/>
  <c r="AD929"/>
  <c r="AB929"/>
  <c r="Z929"/>
  <c r="X929"/>
  <c r="V929"/>
  <c r="T929"/>
  <c r="R929"/>
  <c r="P929"/>
  <c r="N929"/>
  <c r="L929"/>
  <c r="J929"/>
  <c r="H929"/>
  <c r="AE899"/>
  <c r="AC899"/>
  <c r="AA899"/>
  <c r="Y899"/>
  <c r="W899"/>
  <c r="U899"/>
  <c r="S899"/>
  <c r="Q899"/>
  <c r="O899"/>
  <c r="M899"/>
  <c r="K899"/>
  <c r="I899"/>
  <c r="AE855"/>
  <c r="AC855"/>
  <c r="AA855"/>
  <c r="Y855"/>
  <c r="W855"/>
  <c r="U855"/>
  <c r="S855"/>
  <c r="Q855"/>
  <c r="O855"/>
  <c r="M855"/>
  <c r="K855"/>
  <c r="I855"/>
  <c r="AE815"/>
  <c r="AC815"/>
  <c r="AA815"/>
  <c r="Y815"/>
  <c r="W815"/>
  <c r="U815"/>
  <c r="S815"/>
  <c r="Q815"/>
  <c r="O815"/>
  <c r="M815"/>
  <c r="K815"/>
  <c r="I815"/>
  <c r="AD785"/>
  <c r="AB785"/>
  <c r="Z785"/>
  <c r="X785"/>
  <c r="V785"/>
  <c r="T785"/>
  <c r="R785"/>
  <c r="P785"/>
  <c r="N785"/>
  <c r="L785"/>
  <c r="J785"/>
  <c r="H785"/>
  <c r="AE741"/>
  <c r="AC741"/>
  <c r="AA741"/>
  <c r="Y741"/>
  <c r="W741"/>
  <c r="U741"/>
  <c r="S741"/>
  <c r="Q741"/>
  <c r="O741"/>
  <c r="M741"/>
  <c r="K741"/>
  <c r="I741"/>
  <c r="AD701"/>
  <c r="AB701"/>
  <c r="Z701"/>
  <c r="X701"/>
  <c r="V701"/>
  <c r="T701"/>
  <c r="R701"/>
  <c r="P701"/>
  <c r="N701"/>
  <c r="L701"/>
  <c r="J701"/>
  <c r="H701"/>
  <c r="AE671"/>
  <c r="AC671"/>
  <c r="AA671"/>
  <c r="Y671"/>
  <c r="W671"/>
  <c r="U671"/>
  <c r="S671"/>
  <c r="Q671"/>
  <c r="O671"/>
  <c r="M671"/>
  <c r="K671"/>
  <c r="I671"/>
  <c r="AE627"/>
  <c r="AC627"/>
  <c r="AA627"/>
  <c r="Y627"/>
  <c r="W627"/>
  <c r="U627"/>
  <c r="S627"/>
  <c r="Q627"/>
  <c r="O627"/>
  <c r="M627"/>
  <c r="K627"/>
  <c r="I627"/>
  <c r="AE587"/>
  <c r="AC587"/>
  <c r="AA587"/>
  <c r="Y587"/>
  <c r="W587"/>
  <c r="U587"/>
  <c r="S587"/>
  <c r="Q587"/>
  <c r="O587"/>
  <c r="M587"/>
  <c r="K587"/>
  <c r="I587"/>
  <c r="AD557"/>
  <c r="AB557"/>
  <c r="Z557"/>
  <c r="X557"/>
  <c r="V557"/>
  <c r="T557"/>
  <c r="R557"/>
  <c r="P557"/>
  <c r="N557"/>
  <c r="L557"/>
  <c r="J557"/>
  <c r="H557"/>
  <c r="AD513"/>
  <c r="AB513"/>
  <c r="Z513"/>
  <c r="X513"/>
  <c r="V513"/>
  <c r="T513"/>
  <c r="R513"/>
  <c r="N513"/>
  <c r="L513"/>
  <c r="H513"/>
  <c r="AE701"/>
  <c r="AC701"/>
  <c r="AA701"/>
  <c r="Y701"/>
  <c r="W701"/>
  <c r="U701"/>
  <c r="S701"/>
  <c r="Q701"/>
  <c r="O701"/>
  <c r="M701"/>
  <c r="K701"/>
  <c r="I701"/>
  <c r="AD671"/>
  <c r="AB671"/>
  <c r="Z671"/>
  <c r="X671"/>
  <c r="V671"/>
  <c r="T671"/>
  <c r="R671"/>
  <c r="P671"/>
  <c r="N671"/>
  <c r="L671"/>
  <c r="J671"/>
  <c r="H671"/>
  <c r="AD627"/>
  <c r="AB627"/>
  <c r="Z627"/>
  <c r="X627"/>
  <c r="V627"/>
  <c r="T627"/>
  <c r="R627"/>
  <c r="P627"/>
  <c r="N627"/>
  <c r="L627"/>
  <c r="J627"/>
  <c r="H627"/>
  <c r="AD587"/>
  <c r="AB587"/>
  <c r="Z587"/>
  <c r="X587"/>
  <c r="V587"/>
  <c r="T587"/>
  <c r="R587"/>
  <c r="P587"/>
  <c r="N587"/>
  <c r="L587"/>
  <c r="J587"/>
  <c r="H587"/>
  <c r="AE557"/>
  <c r="AC557"/>
  <c r="AA557"/>
  <c r="Y557"/>
  <c r="W557"/>
  <c r="U557"/>
  <c r="S557"/>
  <c r="Q557"/>
  <c r="O557"/>
  <c r="M557"/>
  <c r="K557"/>
  <c r="I557"/>
  <c r="AE513"/>
  <c r="AC513"/>
  <c r="AA513"/>
  <c r="Y513"/>
  <c r="W513"/>
  <c r="U513"/>
  <c r="S513"/>
  <c r="Q513"/>
  <c r="O513"/>
  <c r="M513"/>
  <c r="K513"/>
  <c r="I513"/>
  <c r="P513"/>
  <c r="J513"/>
  <c r="G439"/>
  <c r="G735"/>
  <c r="G600"/>
  <c r="G621"/>
  <c r="G667"/>
  <c r="G507"/>
  <c r="G942"/>
  <c r="G963"/>
  <c r="F1147"/>
  <c r="F1135"/>
  <c r="F1033"/>
  <c r="F1021"/>
  <c r="F977"/>
  <c r="F919"/>
  <c r="F907"/>
  <c r="F863"/>
  <c r="F749"/>
  <c r="F1091"/>
  <c r="F805"/>
  <c r="F793"/>
  <c r="F577"/>
  <c r="F565"/>
  <c r="F521"/>
  <c r="F691"/>
  <c r="F679"/>
  <c r="F635"/>
  <c r="G714"/>
  <c r="G828"/>
  <c r="G849"/>
  <c r="G1056"/>
  <c r="G1077"/>
  <c r="G553"/>
  <c r="G486"/>
  <c r="G411"/>
  <c r="I357"/>
  <c r="K357"/>
  <c r="M357"/>
  <c r="O357"/>
  <c r="Q357"/>
  <c r="S357"/>
  <c r="U357"/>
  <c r="W357"/>
  <c r="Y357"/>
  <c r="AA357"/>
  <c r="AC357"/>
  <c r="AE357"/>
  <c r="H357"/>
  <c r="AD339"/>
  <c r="AB339"/>
  <c r="Z339"/>
  <c r="X339"/>
  <c r="V339"/>
  <c r="T339"/>
  <c r="R339"/>
  <c r="P339"/>
  <c r="N339"/>
  <c r="L339"/>
  <c r="J339"/>
  <c r="H339"/>
  <c r="I243"/>
  <c r="K243"/>
  <c r="M243"/>
  <c r="O243"/>
  <c r="Q243"/>
  <c r="S243"/>
  <c r="U243"/>
  <c r="W243"/>
  <c r="Y243"/>
  <c r="AA243"/>
  <c r="AC243"/>
  <c r="AE243"/>
  <c r="G225"/>
  <c r="J225"/>
  <c r="L225"/>
  <c r="N225"/>
  <c r="P225"/>
  <c r="R225"/>
  <c r="T225"/>
  <c r="V225"/>
  <c r="X225"/>
  <c r="Z225"/>
  <c r="AB225"/>
  <c r="AD225"/>
  <c r="H225"/>
  <c r="I471"/>
  <c r="K471"/>
  <c r="M471"/>
  <c r="O471"/>
  <c r="Q471"/>
  <c r="S471"/>
  <c r="U471"/>
  <c r="W471"/>
  <c r="Y471"/>
  <c r="AA471"/>
  <c r="AC471"/>
  <c r="AE471"/>
  <c r="I453"/>
  <c r="K453"/>
  <c r="M453"/>
  <c r="O453"/>
  <c r="Q453"/>
  <c r="S453"/>
  <c r="U453"/>
  <c r="W453"/>
  <c r="Y453"/>
  <c r="AA453"/>
  <c r="AC453"/>
  <c r="AE453"/>
  <c r="I441"/>
  <c r="K441"/>
  <c r="M441"/>
  <c r="O441"/>
  <c r="Q441"/>
  <c r="S441"/>
  <c r="U441"/>
  <c r="W441"/>
  <c r="Y441"/>
  <c r="AA441"/>
  <c r="AC441"/>
  <c r="AE441"/>
  <c r="J357"/>
  <c r="L357"/>
  <c r="N357"/>
  <c r="P357"/>
  <c r="R357"/>
  <c r="T357"/>
  <c r="V357"/>
  <c r="X357"/>
  <c r="Z357"/>
  <c r="AB357"/>
  <c r="AD357"/>
  <c r="G357"/>
  <c r="AE339"/>
  <c r="AC339"/>
  <c r="AA339"/>
  <c r="Y339"/>
  <c r="W339"/>
  <c r="U339"/>
  <c r="S339"/>
  <c r="Q339"/>
  <c r="O339"/>
  <c r="M339"/>
  <c r="K339"/>
  <c r="I339"/>
  <c r="G339"/>
  <c r="J243"/>
  <c r="L243"/>
  <c r="N243"/>
  <c r="P243"/>
  <c r="R243"/>
  <c r="T243"/>
  <c r="V243"/>
  <c r="X243"/>
  <c r="Z243"/>
  <c r="AB243"/>
  <c r="AD243"/>
  <c r="H243"/>
  <c r="I225"/>
  <c r="K225"/>
  <c r="M225"/>
  <c r="O225"/>
  <c r="Q225"/>
  <c r="S225"/>
  <c r="U225"/>
  <c r="W225"/>
  <c r="Y225"/>
  <c r="AA225"/>
  <c r="AC225"/>
  <c r="AE225"/>
  <c r="J471"/>
  <c r="L471"/>
  <c r="N471"/>
  <c r="P471"/>
  <c r="R471"/>
  <c r="T471"/>
  <c r="V471"/>
  <c r="X471"/>
  <c r="Z471"/>
  <c r="AB471"/>
  <c r="AD471"/>
  <c r="H471"/>
  <c r="J453"/>
  <c r="L453"/>
  <c r="N453"/>
  <c r="P453"/>
  <c r="R453"/>
  <c r="T453"/>
  <c r="V453"/>
  <c r="X453"/>
  <c r="Z453"/>
  <c r="AB453"/>
  <c r="AD453"/>
  <c r="H453"/>
  <c r="J441"/>
  <c r="L441"/>
  <c r="N441"/>
  <c r="P441"/>
  <c r="R441"/>
  <c r="T441"/>
  <c r="V441"/>
  <c r="X441"/>
  <c r="Z441"/>
  <c r="AB441"/>
  <c r="AD441"/>
  <c r="H441"/>
  <c r="AD473"/>
  <c r="AB473"/>
  <c r="Z473"/>
  <c r="X473"/>
  <c r="V473"/>
  <c r="T473"/>
  <c r="R473"/>
  <c r="P473"/>
  <c r="N473"/>
  <c r="L473"/>
  <c r="J473"/>
  <c r="H473"/>
  <c r="AE443"/>
  <c r="AC443"/>
  <c r="AA443"/>
  <c r="Y443"/>
  <c r="W443"/>
  <c r="U443"/>
  <c r="S443"/>
  <c r="Q443"/>
  <c r="O443"/>
  <c r="M443"/>
  <c r="K443"/>
  <c r="I443"/>
  <c r="AE399"/>
  <c r="AC399"/>
  <c r="AA399"/>
  <c r="Y399"/>
  <c r="W399"/>
  <c r="U399"/>
  <c r="S399"/>
  <c r="Q399"/>
  <c r="O399"/>
  <c r="M399"/>
  <c r="K399"/>
  <c r="I399"/>
  <c r="AE473"/>
  <c r="AC473"/>
  <c r="AA473"/>
  <c r="Y473"/>
  <c r="W473"/>
  <c r="U473"/>
  <c r="S473"/>
  <c r="Q473"/>
  <c r="O473"/>
  <c r="M473"/>
  <c r="K473"/>
  <c r="I473"/>
  <c r="AD443"/>
  <c r="AB443"/>
  <c r="Z443"/>
  <c r="X443"/>
  <c r="V443"/>
  <c r="T443"/>
  <c r="R443"/>
  <c r="P443"/>
  <c r="N443"/>
  <c r="L443"/>
  <c r="J443"/>
  <c r="H443"/>
  <c r="AD399"/>
  <c r="AB399"/>
  <c r="Z399"/>
  <c r="X399"/>
  <c r="V399"/>
  <c r="T399"/>
  <c r="R399"/>
  <c r="P399"/>
  <c r="N399"/>
  <c r="L399"/>
  <c r="J399"/>
  <c r="H399"/>
  <c r="G393"/>
  <c r="F463"/>
  <c r="F451"/>
  <c r="F407"/>
  <c r="AD413"/>
  <c r="AB413"/>
  <c r="Z413"/>
  <c r="X413"/>
  <c r="V413"/>
  <c r="T413"/>
  <c r="R413"/>
  <c r="P413"/>
  <c r="N413"/>
  <c r="L413"/>
  <c r="J413"/>
  <c r="H413"/>
  <c r="E441"/>
  <c r="AE413"/>
  <c r="AC413"/>
  <c r="AA413"/>
  <c r="Y413"/>
  <c r="W413"/>
  <c r="U413"/>
  <c r="S413"/>
  <c r="Q413"/>
  <c r="O413"/>
  <c r="M413"/>
  <c r="K413"/>
  <c r="I413"/>
  <c r="E413"/>
  <c r="G297"/>
  <c r="G325"/>
  <c r="J327"/>
  <c r="L327"/>
  <c r="N327"/>
  <c r="P327"/>
  <c r="R327"/>
  <c r="T327"/>
  <c r="V327"/>
  <c r="X327"/>
  <c r="Z327"/>
  <c r="AB327"/>
  <c r="AD327"/>
  <c r="H327"/>
  <c r="I327"/>
  <c r="K327"/>
  <c r="M327"/>
  <c r="O327"/>
  <c r="Q327"/>
  <c r="S327"/>
  <c r="U327"/>
  <c r="W327"/>
  <c r="Y327"/>
  <c r="AA327"/>
  <c r="AC327"/>
  <c r="AE327"/>
  <c r="F349"/>
  <c r="F337"/>
  <c r="F293"/>
  <c r="E327"/>
  <c r="AD299"/>
  <c r="AB299"/>
  <c r="Z299"/>
  <c r="X299"/>
  <c r="V299"/>
  <c r="T299"/>
  <c r="R299"/>
  <c r="P299"/>
  <c r="N299"/>
  <c r="L299"/>
  <c r="J299"/>
  <c r="H299"/>
  <c r="E299"/>
  <c r="AE299"/>
  <c r="AC299"/>
  <c r="AA299"/>
  <c r="Y299"/>
  <c r="W299"/>
  <c r="U299"/>
  <c r="S299"/>
  <c r="Q299"/>
  <c r="O299"/>
  <c r="M299"/>
  <c r="K299"/>
  <c r="I299"/>
  <c r="G279"/>
  <c r="AD359"/>
  <c r="AB359"/>
  <c r="Z359"/>
  <c r="X359"/>
  <c r="V359"/>
  <c r="T359"/>
  <c r="R359"/>
  <c r="P359"/>
  <c r="N359"/>
  <c r="L359"/>
  <c r="J359"/>
  <c r="H359"/>
  <c r="AD329"/>
  <c r="AB329"/>
  <c r="Z329"/>
  <c r="X329"/>
  <c r="V329"/>
  <c r="T329"/>
  <c r="R329"/>
  <c r="P329"/>
  <c r="N329"/>
  <c r="L329"/>
  <c r="J329"/>
  <c r="H329"/>
  <c r="AE285"/>
  <c r="AC285"/>
  <c r="AA285"/>
  <c r="Y285"/>
  <c r="W285"/>
  <c r="U285"/>
  <c r="S285"/>
  <c r="Q285"/>
  <c r="O285"/>
  <c r="M285"/>
  <c r="K285"/>
  <c r="I285"/>
  <c r="AE359"/>
  <c r="AC359"/>
  <c r="AA359"/>
  <c r="Y359"/>
  <c r="W359"/>
  <c r="U359"/>
  <c r="S359"/>
  <c r="Q359"/>
  <c r="O359"/>
  <c r="M359"/>
  <c r="K359"/>
  <c r="I359"/>
  <c r="AE329"/>
  <c r="AC329"/>
  <c r="AA329"/>
  <c r="Y329"/>
  <c r="W329"/>
  <c r="U329"/>
  <c r="S329"/>
  <c r="Q329"/>
  <c r="O329"/>
  <c r="M329"/>
  <c r="K329"/>
  <c r="I329"/>
  <c r="AD285"/>
  <c r="AB285"/>
  <c r="Z285"/>
  <c r="X285"/>
  <c r="V285"/>
  <c r="T285"/>
  <c r="R285"/>
  <c r="P285"/>
  <c r="N285"/>
  <c r="L285"/>
  <c r="J285"/>
  <c r="H285"/>
  <c r="I245"/>
  <c r="K245"/>
  <c r="M245"/>
  <c r="O245"/>
  <c r="Q245"/>
  <c r="S245"/>
  <c r="U245"/>
  <c r="W245"/>
  <c r="Y245"/>
  <c r="AA245"/>
  <c r="AC245"/>
  <c r="AE245"/>
  <c r="J245"/>
  <c r="L245"/>
  <c r="N245"/>
  <c r="P245"/>
  <c r="R245"/>
  <c r="T245"/>
  <c r="V245"/>
  <c r="X245"/>
  <c r="Z245"/>
  <c r="AB245"/>
  <c r="AD245"/>
  <c r="H245"/>
  <c r="H164"/>
  <c r="AB164"/>
  <c r="X164"/>
  <c r="T164"/>
  <c r="P164"/>
  <c r="L164"/>
  <c r="AE215"/>
  <c r="AA215"/>
  <c r="W215"/>
  <c r="S215"/>
  <c r="O215"/>
  <c r="K215"/>
  <c r="AE164"/>
  <c r="AA164"/>
  <c r="W164"/>
  <c r="S164"/>
  <c r="O164"/>
  <c r="K164"/>
  <c r="H215"/>
  <c r="AB215"/>
  <c r="X215"/>
  <c r="T215"/>
  <c r="P215"/>
  <c r="L215"/>
  <c r="J215"/>
  <c r="AD164"/>
  <c r="Z164"/>
  <c r="V164"/>
  <c r="R164"/>
  <c r="N164"/>
  <c r="J164"/>
  <c r="AC215"/>
  <c r="Y215"/>
  <c r="U215"/>
  <c r="Q215"/>
  <c r="M215"/>
  <c r="I215"/>
  <c r="AC164"/>
  <c r="Y164"/>
  <c r="U164"/>
  <c r="Q164"/>
  <c r="M164"/>
  <c r="I164"/>
  <c r="AD215"/>
  <c r="Z215"/>
  <c r="V215"/>
  <c r="R215"/>
  <c r="N215"/>
  <c r="E213"/>
  <c r="J213"/>
  <c r="L213"/>
  <c r="N213"/>
  <c r="P213"/>
  <c r="T213"/>
  <c r="X213"/>
  <c r="AB213"/>
  <c r="I213"/>
  <c r="H213"/>
  <c r="K213"/>
  <c r="M213"/>
  <c r="O213"/>
  <c r="Q213"/>
  <c r="S213"/>
  <c r="U213"/>
  <c r="W213"/>
  <c r="Y213"/>
  <c r="AA213"/>
  <c r="AC213"/>
  <c r="AE213"/>
  <c r="R213"/>
  <c r="V213"/>
  <c r="Z213"/>
  <c r="AD213"/>
  <c r="G211"/>
  <c r="AD71"/>
  <c r="AE70"/>
  <c r="G372"/>
  <c r="G258"/>
  <c r="F235"/>
  <c r="G243"/>
  <c r="F223"/>
  <c r="G182"/>
  <c r="AE55"/>
  <c r="I60"/>
  <c r="W54"/>
  <c r="Q57"/>
  <c r="X63"/>
  <c r="X127"/>
  <c r="O55"/>
  <c r="W56"/>
  <c r="Y58"/>
  <c r="Q61"/>
  <c r="P66"/>
  <c r="O54"/>
  <c r="AE54"/>
  <c r="W55"/>
  <c r="O56"/>
  <c r="AE56"/>
  <c r="I58"/>
  <c r="Q59"/>
  <c r="Y60"/>
  <c r="P62"/>
  <c r="H65"/>
  <c r="H459"/>
  <c r="J68"/>
  <c r="K54"/>
  <c r="S54"/>
  <c r="AA54"/>
  <c r="K55"/>
  <c r="S55"/>
  <c r="AA55"/>
  <c r="K56"/>
  <c r="S56"/>
  <c r="AA56"/>
  <c r="K57"/>
  <c r="Y57"/>
  <c r="Q58"/>
  <c r="I59"/>
  <c r="Y59"/>
  <c r="Q60"/>
  <c r="I61"/>
  <c r="Y61"/>
  <c r="H63"/>
  <c r="P64"/>
  <c r="P264"/>
  <c r="X65"/>
  <c r="X459"/>
  <c r="H67"/>
  <c r="R69"/>
  <c r="I54"/>
  <c r="M54"/>
  <c r="Q54"/>
  <c r="U54"/>
  <c r="Y54"/>
  <c r="AC54"/>
  <c r="I55"/>
  <c r="M55"/>
  <c r="Q55"/>
  <c r="U55"/>
  <c r="Y55"/>
  <c r="AC55"/>
  <c r="I56"/>
  <c r="M56"/>
  <c r="Q56"/>
  <c r="U56"/>
  <c r="Y56"/>
  <c r="AC56"/>
  <c r="I57"/>
  <c r="M57"/>
  <c r="U57"/>
  <c r="AC57"/>
  <c r="M58"/>
  <c r="U58"/>
  <c r="AC58"/>
  <c r="M59"/>
  <c r="U59"/>
  <c r="AC59"/>
  <c r="M60"/>
  <c r="U60"/>
  <c r="AC60"/>
  <c r="M61"/>
  <c r="U61"/>
  <c r="H62"/>
  <c r="X62"/>
  <c r="P63"/>
  <c r="P127"/>
  <c r="H64"/>
  <c r="H264"/>
  <c r="X64"/>
  <c r="X264"/>
  <c r="P65"/>
  <c r="P459"/>
  <c r="H66"/>
  <c r="X66"/>
  <c r="R67"/>
  <c r="Z68"/>
  <c r="J70"/>
  <c r="H54"/>
  <c r="J54"/>
  <c r="L54"/>
  <c r="N54"/>
  <c r="P54"/>
  <c r="R54"/>
  <c r="T54"/>
  <c r="V54"/>
  <c r="X54"/>
  <c r="Z54"/>
  <c r="AB54"/>
  <c r="AD54"/>
  <c r="H55"/>
  <c r="J55"/>
  <c r="L55"/>
  <c r="N55"/>
  <c r="P55"/>
  <c r="R55"/>
  <c r="T55"/>
  <c r="V55"/>
  <c r="X55"/>
  <c r="Z55"/>
  <c r="AB55"/>
  <c r="AD55"/>
  <c r="H56"/>
  <c r="J56"/>
  <c r="L56"/>
  <c r="N56"/>
  <c r="P56"/>
  <c r="R56"/>
  <c r="T56"/>
  <c r="V56"/>
  <c r="X56"/>
  <c r="Z56"/>
  <c r="AB56"/>
  <c r="AD56"/>
  <c r="H57"/>
  <c r="J57"/>
  <c r="L57"/>
  <c r="O57"/>
  <c r="S57"/>
  <c r="W57"/>
  <c r="AA57"/>
  <c r="AE57"/>
  <c r="K58"/>
  <c r="O58"/>
  <c r="S58"/>
  <c r="W58"/>
  <c r="AA58"/>
  <c r="AE58"/>
  <c r="K59"/>
  <c r="O59"/>
  <c r="S59"/>
  <c r="W59"/>
  <c r="AA59"/>
  <c r="AE59"/>
  <c r="K60"/>
  <c r="O60"/>
  <c r="S60"/>
  <c r="W60"/>
  <c r="AA60"/>
  <c r="AE60"/>
  <c r="K61"/>
  <c r="O61"/>
  <c r="S61"/>
  <c r="W61"/>
  <c r="AB61"/>
  <c r="L62"/>
  <c r="T62"/>
  <c r="AB62"/>
  <c r="L63"/>
  <c r="L127"/>
  <c r="T63"/>
  <c r="T127"/>
  <c r="AB63"/>
  <c r="AB127"/>
  <c r="L64"/>
  <c r="L264"/>
  <c r="T64"/>
  <c r="T264"/>
  <c r="AB64"/>
  <c r="AB264"/>
  <c r="L65"/>
  <c r="L459"/>
  <c r="T65"/>
  <c r="T459"/>
  <c r="AB65"/>
  <c r="AB459"/>
  <c r="L66"/>
  <c r="T66"/>
  <c r="AB66"/>
  <c r="L67"/>
  <c r="Z67"/>
  <c r="R68"/>
  <c r="J69"/>
  <c r="Z69"/>
  <c r="R70"/>
  <c r="W71"/>
  <c r="N57"/>
  <c r="P57"/>
  <c r="R57"/>
  <c r="T57"/>
  <c r="V57"/>
  <c r="X57"/>
  <c r="Z57"/>
  <c r="AB57"/>
  <c r="AD57"/>
  <c r="H58"/>
  <c r="J58"/>
  <c r="L58"/>
  <c r="N58"/>
  <c r="P58"/>
  <c r="R58"/>
  <c r="T58"/>
  <c r="V58"/>
  <c r="X58"/>
  <c r="Z58"/>
  <c r="AB58"/>
  <c r="AD58"/>
  <c r="H59"/>
  <c r="J59"/>
  <c r="L59"/>
  <c r="N59"/>
  <c r="P59"/>
  <c r="R59"/>
  <c r="T59"/>
  <c r="V59"/>
  <c r="X59"/>
  <c r="Z59"/>
  <c r="AB59"/>
  <c r="AD59"/>
  <c r="H60"/>
  <c r="J60"/>
  <c r="L60"/>
  <c r="N60"/>
  <c r="P60"/>
  <c r="R60"/>
  <c r="T60"/>
  <c r="V60"/>
  <c r="X60"/>
  <c r="Z60"/>
  <c r="AB60"/>
  <c r="AD60"/>
  <c r="H61"/>
  <c r="J61"/>
  <c r="L61"/>
  <c r="N61"/>
  <c r="P61"/>
  <c r="R61"/>
  <c r="T61"/>
  <c r="V61"/>
  <c r="X61"/>
  <c r="Z61"/>
  <c r="AD61"/>
  <c r="J62"/>
  <c r="N62"/>
  <c r="R62"/>
  <c r="V62"/>
  <c r="Z62"/>
  <c r="AD62"/>
  <c r="J63"/>
  <c r="J127"/>
  <c r="N63"/>
  <c r="N127"/>
  <c r="R63"/>
  <c r="R127"/>
  <c r="V63"/>
  <c r="V127"/>
  <c r="Z63"/>
  <c r="Z127"/>
  <c r="AD63"/>
  <c r="AD127"/>
  <c r="J64"/>
  <c r="J264"/>
  <c r="N64"/>
  <c r="N264"/>
  <c r="R64"/>
  <c r="R264"/>
  <c r="V64"/>
  <c r="V264"/>
  <c r="Z64"/>
  <c r="Z264"/>
  <c r="AD64"/>
  <c r="AD264"/>
  <c r="J65"/>
  <c r="J459"/>
  <c r="N65"/>
  <c r="N459"/>
  <c r="R65"/>
  <c r="R459"/>
  <c r="V65"/>
  <c r="V459"/>
  <c r="Z65"/>
  <c r="Z459"/>
  <c r="AD65"/>
  <c r="AD459"/>
  <c r="J66"/>
  <c r="N66"/>
  <c r="R66"/>
  <c r="V66"/>
  <c r="Z66"/>
  <c r="AD66"/>
  <c r="J67"/>
  <c r="N67"/>
  <c r="V67"/>
  <c r="AD67"/>
  <c r="N68"/>
  <c r="V68"/>
  <c r="AD68"/>
  <c r="N69"/>
  <c r="V69"/>
  <c r="AD69"/>
  <c r="N70"/>
  <c r="W70"/>
  <c r="O71"/>
  <c r="AE71"/>
  <c r="AA61"/>
  <c r="AC61"/>
  <c r="AE61"/>
  <c r="I62"/>
  <c r="K62"/>
  <c r="M62"/>
  <c r="O62"/>
  <c r="Q62"/>
  <c r="S62"/>
  <c r="U62"/>
  <c r="W62"/>
  <c r="Y62"/>
  <c r="AA62"/>
  <c r="AC62"/>
  <c r="AE62"/>
  <c r="I63"/>
  <c r="I127"/>
  <c r="K63"/>
  <c r="K127"/>
  <c r="M63"/>
  <c r="M127"/>
  <c r="O63"/>
  <c r="O127"/>
  <c r="Q63"/>
  <c r="Q127"/>
  <c r="S63"/>
  <c r="S127"/>
  <c r="U63"/>
  <c r="U127"/>
  <c r="W63"/>
  <c r="W127"/>
  <c r="Y63"/>
  <c r="Y127"/>
  <c r="AA63"/>
  <c r="AA127"/>
  <c r="AC63"/>
  <c r="AC127"/>
  <c r="AE63"/>
  <c r="AE127"/>
  <c r="I64"/>
  <c r="I264"/>
  <c r="K64"/>
  <c r="K264"/>
  <c r="M64"/>
  <c r="M264"/>
  <c r="O64"/>
  <c r="O264"/>
  <c r="Q64"/>
  <c r="Q264"/>
  <c r="S64"/>
  <c r="S264"/>
  <c r="U64"/>
  <c r="U264"/>
  <c r="W64"/>
  <c r="W264"/>
  <c r="Y64"/>
  <c r="Y264"/>
  <c r="AA64"/>
  <c r="AA264"/>
  <c r="AC64"/>
  <c r="AC264"/>
  <c r="AE64"/>
  <c r="AE264"/>
  <c r="I65"/>
  <c r="I459"/>
  <c r="K65"/>
  <c r="K459"/>
  <c r="M65"/>
  <c r="M459"/>
  <c r="O65"/>
  <c r="O459"/>
  <c r="Q65"/>
  <c r="Q459"/>
  <c r="S65"/>
  <c r="S459"/>
  <c r="U65"/>
  <c r="U459"/>
  <c r="W65"/>
  <c r="W459"/>
  <c r="Y65"/>
  <c r="Y459"/>
  <c r="AA65"/>
  <c r="AA459"/>
  <c r="AC65"/>
  <c r="AC459"/>
  <c r="AE65"/>
  <c r="AE459"/>
  <c r="I66"/>
  <c r="K66"/>
  <c r="M66"/>
  <c r="O66"/>
  <c r="Q66"/>
  <c r="S66"/>
  <c r="U66"/>
  <c r="W66"/>
  <c r="Y66"/>
  <c r="AA66"/>
  <c r="AC66"/>
  <c r="AE66"/>
  <c r="I67"/>
  <c r="K67"/>
  <c r="M67"/>
  <c r="P67"/>
  <c r="T67"/>
  <c r="X67"/>
  <c r="AB67"/>
  <c r="H68"/>
  <c r="L68"/>
  <c r="P68"/>
  <c r="T68"/>
  <c r="X68"/>
  <c r="AB68"/>
  <c r="H69"/>
  <c r="L69"/>
  <c r="P69"/>
  <c r="T69"/>
  <c r="X69"/>
  <c r="AB69"/>
  <c r="H70"/>
  <c r="L70"/>
  <c r="P70"/>
  <c r="T70"/>
  <c r="AA70"/>
  <c r="K71"/>
  <c r="S71"/>
  <c r="AA71"/>
  <c r="O67"/>
  <c r="Q67"/>
  <c r="S67"/>
  <c r="U67"/>
  <c r="W67"/>
  <c r="Y67"/>
  <c r="AA67"/>
  <c r="AC67"/>
  <c r="AE67"/>
  <c r="I68"/>
  <c r="K68"/>
  <c r="M68"/>
  <c r="O68"/>
  <c r="Q68"/>
  <c r="S68"/>
  <c r="U68"/>
  <c r="W68"/>
  <c r="Y68"/>
  <c r="AA68"/>
  <c r="AC68"/>
  <c r="AE68"/>
  <c r="I69"/>
  <c r="K69"/>
  <c r="M69"/>
  <c r="O69"/>
  <c r="Q69"/>
  <c r="S69"/>
  <c r="U69"/>
  <c r="W69"/>
  <c r="Y69"/>
  <c r="AA69"/>
  <c r="AC69"/>
  <c r="AE69"/>
  <c r="I70"/>
  <c r="K70"/>
  <c r="M70"/>
  <c r="O70"/>
  <c r="Q70"/>
  <c r="S70"/>
  <c r="U70"/>
  <c r="Y70"/>
  <c r="AC70"/>
  <c r="I71"/>
  <c r="M71"/>
  <c r="Q71"/>
  <c r="U71"/>
  <c r="Y71"/>
  <c r="AC71"/>
  <c r="AE185"/>
  <c r="AC185"/>
  <c r="AA185"/>
  <c r="Y185"/>
  <c r="W185"/>
  <c r="U185"/>
  <c r="S185"/>
  <c r="Q185"/>
  <c r="O185"/>
  <c r="M185"/>
  <c r="K185"/>
  <c r="I185"/>
  <c r="E185"/>
  <c r="AD185"/>
  <c r="AB185"/>
  <c r="Z185"/>
  <c r="X185"/>
  <c r="V185"/>
  <c r="T185"/>
  <c r="R185"/>
  <c r="P185"/>
  <c r="N185"/>
  <c r="L185"/>
  <c r="J185"/>
  <c r="H185"/>
  <c r="V70"/>
  <c r="X70"/>
  <c r="Z70"/>
  <c r="AB70"/>
  <c r="AD70"/>
  <c r="H71"/>
  <c r="J71"/>
  <c r="L71"/>
  <c r="N71"/>
  <c r="P71"/>
  <c r="R71"/>
  <c r="T71"/>
  <c r="V71"/>
  <c r="X71"/>
  <c r="Z71"/>
  <c r="AB71"/>
  <c r="G131"/>
  <c r="F177"/>
  <c r="G59"/>
  <c r="G54"/>
  <c r="G58"/>
  <c r="C97"/>
  <c r="C99"/>
  <c r="C101"/>
  <c r="C103"/>
  <c r="C105"/>
  <c r="C107"/>
  <c r="B107"/>
  <c r="C109"/>
  <c r="C111"/>
  <c r="B111"/>
  <c r="C113"/>
  <c r="B113"/>
  <c r="C98"/>
  <c r="C100"/>
  <c r="C102"/>
  <c r="C104"/>
  <c r="C106"/>
  <c r="B106"/>
  <c r="C108"/>
  <c r="B108"/>
  <c r="C110"/>
  <c r="C112"/>
  <c r="B112"/>
  <c r="G471"/>
  <c r="H1093" i="4"/>
  <c r="G1093"/>
  <c r="G1099"/>
  <c r="H865"/>
  <c r="G865"/>
  <c r="G871"/>
  <c r="H657"/>
  <c r="H637"/>
  <c r="G637"/>
  <c r="G643"/>
  <c r="H409"/>
  <c r="G409"/>
  <c r="G415"/>
  <c r="H201"/>
  <c r="H999"/>
  <c r="H751"/>
  <c r="G751"/>
  <c r="G757"/>
  <c r="H543"/>
  <c r="H523"/>
  <c r="G523"/>
  <c r="G529"/>
  <c r="H295"/>
  <c r="G295"/>
  <c r="G301"/>
  <c r="H1113"/>
  <c r="H885"/>
  <c r="H429"/>
  <c r="H179"/>
  <c r="G179"/>
  <c r="G187"/>
  <c r="H979"/>
  <c r="G979"/>
  <c r="G985"/>
  <c r="H771"/>
  <c r="H315"/>
  <c r="AC231" i="2"/>
  <c r="AC229"/>
  <c r="AC177"/>
  <c r="AC146"/>
  <c r="AC143"/>
  <c r="AC223"/>
  <c r="AC196"/>
  <c r="AC192"/>
  <c r="AC190"/>
  <c r="Y231"/>
  <c r="Y229"/>
  <c r="Y177"/>
  <c r="Y146"/>
  <c r="Y143"/>
  <c r="Y223"/>
  <c r="Y196"/>
  <c r="Y192"/>
  <c r="Y190"/>
  <c r="U231"/>
  <c r="U229"/>
  <c r="U177"/>
  <c r="U146"/>
  <c r="U143"/>
  <c r="U223"/>
  <c r="U196"/>
  <c r="U192"/>
  <c r="U190"/>
  <c r="Q231"/>
  <c r="Q229"/>
  <c r="Q177"/>
  <c r="Q146"/>
  <c r="Q143"/>
  <c r="Q223"/>
  <c r="Q196"/>
  <c r="Q192"/>
  <c r="Q190"/>
  <c r="M231"/>
  <c r="M229"/>
  <c r="M223"/>
  <c r="M177"/>
  <c r="M146"/>
  <c r="M143"/>
  <c r="M196"/>
  <c r="M192"/>
  <c r="M190"/>
  <c r="I231"/>
  <c r="I229"/>
  <c r="I223"/>
  <c r="I177"/>
  <c r="I146"/>
  <c r="I143"/>
  <c r="I196"/>
  <c r="I192"/>
  <c r="I190"/>
  <c r="AD223"/>
  <c r="AD196"/>
  <c r="AD192"/>
  <c r="AD190"/>
  <c r="AD231"/>
  <c r="AD229"/>
  <c r="AD177"/>
  <c r="AD146"/>
  <c r="AD143"/>
  <c r="V223"/>
  <c r="V196"/>
  <c r="V192"/>
  <c r="V190"/>
  <c r="V231"/>
  <c r="V229"/>
  <c r="V177"/>
  <c r="V146"/>
  <c r="V143"/>
  <c r="N196"/>
  <c r="N192"/>
  <c r="N190"/>
  <c r="N231"/>
  <c r="N229"/>
  <c r="N223"/>
  <c r="N177"/>
  <c r="N146"/>
  <c r="N143"/>
  <c r="AB223"/>
  <c r="AB196"/>
  <c r="AB192"/>
  <c r="AB190"/>
  <c r="AB231"/>
  <c r="AB229"/>
  <c r="AB177"/>
  <c r="AB146"/>
  <c r="AB143"/>
  <c r="L196"/>
  <c r="L192"/>
  <c r="L190"/>
  <c r="L231"/>
  <c r="L229"/>
  <c r="L223"/>
  <c r="L177"/>
  <c r="L146"/>
  <c r="L143"/>
  <c r="AE223"/>
  <c r="AE231"/>
  <c r="AE229"/>
  <c r="AE177"/>
  <c r="AE146"/>
  <c r="AE143"/>
  <c r="AE196"/>
  <c r="AE192"/>
  <c r="AE190"/>
  <c r="AA231"/>
  <c r="AA229"/>
  <c r="AA177"/>
  <c r="AA146"/>
  <c r="AA143"/>
  <c r="AA223"/>
  <c r="AA196"/>
  <c r="AA192"/>
  <c r="AA190"/>
  <c r="W231"/>
  <c r="W229"/>
  <c r="W177"/>
  <c r="W146"/>
  <c r="W143"/>
  <c r="W223"/>
  <c r="W196"/>
  <c r="W192"/>
  <c r="W190"/>
  <c r="S231"/>
  <c r="S229"/>
  <c r="S177"/>
  <c r="S146"/>
  <c r="S143"/>
  <c r="S223"/>
  <c r="S196"/>
  <c r="S192"/>
  <c r="S190"/>
  <c r="O231"/>
  <c r="O229"/>
  <c r="O223"/>
  <c r="O177"/>
  <c r="O146"/>
  <c r="O143"/>
  <c r="O196"/>
  <c r="O192"/>
  <c r="O190"/>
  <c r="K231"/>
  <c r="K229"/>
  <c r="K223"/>
  <c r="K177"/>
  <c r="K146"/>
  <c r="K143"/>
  <c r="K196"/>
  <c r="K192"/>
  <c r="K190"/>
  <c r="Z223"/>
  <c r="Z196"/>
  <c r="Z192"/>
  <c r="Z190"/>
  <c r="Z231"/>
  <c r="Z229"/>
  <c r="Z177"/>
  <c r="Z146"/>
  <c r="Z143"/>
  <c r="R223"/>
  <c r="R196"/>
  <c r="R192"/>
  <c r="R190"/>
  <c r="R231"/>
  <c r="R229"/>
  <c r="R177"/>
  <c r="R146"/>
  <c r="R143"/>
  <c r="J196"/>
  <c r="J192"/>
  <c r="J190"/>
  <c r="J231"/>
  <c r="J229"/>
  <c r="J223"/>
  <c r="J177"/>
  <c r="J146"/>
  <c r="J143"/>
  <c r="T223"/>
  <c r="T196"/>
  <c r="T192"/>
  <c r="T190"/>
  <c r="T231"/>
  <c r="T229"/>
  <c r="T177"/>
  <c r="T146"/>
  <c r="T143"/>
  <c r="P196"/>
  <c r="P192"/>
  <c r="P190"/>
  <c r="P231"/>
  <c r="P229"/>
  <c r="P223"/>
  <c r="P177"/>
  <c r="P146"/>
  <c r="P143"/>
  <c r="X223"/>
  <c r="X196"/>
  <c r="X192"/>
  <c r="X190"/>
  <c r="X231"/>
  <c r="X229"/>
  <c r="X177"/>
  <c r="X146"/>
  <c r="X143"/>
  <c r="B109"/>
  <c r="V45" i="1"/>
  <c r="AA45"/>
  <c r="V44"/>
  <c r="AA44"/>
  <c r="B110" i="2"/>
  <c r="B115"/>
  <c r="V46" i="1"/>
  <c r="AA46"/>
  <c r="V47"/>
  <c r="AA47"/>
  <c r="F108" i="4"/>
  <c r="O108"/>
  <c r="F110" i="2"/>
  <c r="F110" i="4"/>
  <c r="O110"/>
  <c r="F114" i="2"/>
  <c r="F114" i="4"/>
  <c r="O114"/>
  <c r="F109" i="2"/>
  <c r="F109" i="4"/>
  <c r="O109"/>
  <c r="F111" i="2"/>
  <c r="F111" i="4"/>
  <c r="O111"/>
  <c r="F113" i="2"/>
  <c r="F113" i="4"/>
  <c r="O113"/>
  <c r="G567" i="2"/>
  <c r="G641"/>
  <c r="G755"/>
  <c r="G909"/>
  <c r="Z1108"/>
  <c r="Z1104"/>
  <c r="Z1102"/>
  <c r="Z1091"/>
  <c r="Z1065"/>
  <c r="Z1062"/>
  <c r="Z1053"/>
  <c r="Z1143"/>
  <c r="Z1145"/>
  <c r="Z1141"/>
  <c r="Z1135"/>
  <c r="R1108"/>
  <c r="R1104"/>
  <c r="R1102"/>
  <c r="R1091"/>
  <c r="R1065"/>
  <c r="R1062"/>
  <c r="R1053"/>
  <c r="R1143"/>
  <c r="R1145"/>
  <c r="R1141"/>
  <c r="R1135"/>
  <c r="J1108"/>
  <c r="J1104"/>
  <c r="J1102"/>
  <c r="J1091"/>
  <c r="J1065"/>
  <c r="J1062"/>
  <c r="J1053"/>
  <c r="J1143"/>
  <c r="J1145"/>
  <c r="J1141"/>
  <c r="J1135"/>
  <c r="AD977"/>
  <c r="AD951"/>
  <c r="AD948"/>
  <c r="AD939"/>
  <c r="AD1029"/>
  <c r="AD1031"/>
  <c r="AD1027"/>
  <c r="AD1021"/>
  <c r="AD994"/>
  <c r="AD990"/>
  <c r="AD988"/>
  <c r="Z977"/>
  <c r="Z951"/>
  <c r="Z948"/>
  <c r="Z939"/>
  <c r="Z1029"/>
  <c r="Z1031"/>
  <c r="Z1027"/>
  <c r="Z1021"/>
  <c r="Z994"/>
  <c r="Z990"/>
  <c r="Z988"/>
  <c r="V977"/>
  <c r="V951"/>
  <c r="V948"/>
  <c r="V939"/>
  <c r="V1029"/>
  <c r="V1031"/>
  <c r="V1027"/>
  <c r="V1021"/>
  <c r="V994"/>
  <c r="V990"/>
  <c r="V988"/>
  <c r="AC1143"/>
  <c r="AC1145"/>
  <c r="AC1141"/>
  <c r="AC1135"/>
  <c r="AC1065"/>
  <c r="AC1062"/>
  <c r="AC1053"/>
  <c r="AC1108"/>
  <c r="AC1104"/>
  <c r="AC1102"/>
  <c r="AC1091"/>
  <c r="U1143"/>
  <c r="U1145"/>
  <c r="U1141"/>
  <c r="U1135"/>
  <c r="U1065"/>
  <c r="U1062"/>
  <c r="U1053"/>
  <c r="U1108"/>
  <c r="U1104"/>
  <c r="U1102"/>
  <c r="U1091"/>
  <c r="M1143"/>
  <c r="M1145"/>
  <c r="M1141"/>
  <c r="M1135"/>
  <c r="M1065"/>
  <c r="M1062"/>
  <c r="M1053"/>
  <c r="M1108"/>
  <c r="M1104"/>
  <c r="M1102"/>
  <c r="M1091"/>
  <c r="AC1029"/>
  <c r="AC1031"/>
  <c r="AC1027"/>
  <c r="AC1021"/>
  <c r="AC994"/>
  <c r="AC990"/>
  <c r="AC988"/>
  <c r="AC977"/>
  <c r="AC951"/>
  <c r="AC948"/>
  <c r="AC939"/>
  <c r="U1029"/>
  <c r="U1031"/>
  <c r="U1027"/>
  <c r="U1021"/>
  <c r="U994"/>
  <c r="U990"/>
  <c r="U988"/>
  <c r="U977"/>
  <c r="U951"/>
  <c r="U948"/>
  <c r="U939"/>
  <c r="Q1029"/>
  <c r="Q1031"/>
  <c r="Q1027"/>
  <c r="Q1021"/>
  <c r="Q994"/>
  <c r="Q990"/>
  <c r="Q988"/>
  <c r="Q977"/>
  <c r="Q951"/>
  <c r="Q948"/>
  <c r="Q939"/>
  <c r="M1029"/>
  <c r="M1031"/>
  <c r="M1027"/>
  <c r="M1021"/>
  <c r="M994"/>
  <c r="M990"/>
  <c r="M988"/>
  <c r="M977"/>
  <c r="M951"/>
  <c r="M948"/>
  <c r="M939"/>
  <c r="I1029"/>
  <c r="I1031"/>
  <c r="I1027"/>
  <c r="I1021"/>
  <c r="I994"/>
  <c r="I990"/>
  <c r="I988"/>
  <c r="I939"/>
  <c r="I977"/>
  <c r="I951"/>
  <c r="I948"/>
  <c r="AC915"/>
  <c r="AC917"/>
  <c r="AC913"/>
  <c r="AC907"/>
  <c r="AC876"/>
  <c r="AC880"/>
  <c r="AC874"/>
  <c r="AC863"/>
  <c r="AC834"/>
  <c r="AC825"/>
  <c r="AC837"/>
  <c r="Y915"/>
  <c r="Y917"/>
  <c r="Y913"/>
  <c r="Y907"/>
  <c r="Y876"/>
  <c r="Y880"/>
  <c r="Y874"/>
  <c r="Y863"/>
  <c r="Y834"/>
  <c r="Y825"/>
  <c r="Y837"/>
  <c r="U915"/>
  <c r="U917"/>
  <c r="U913"/>
  <c r="U907"/>
  <c r="U876"/>
  <c r="U880"/>
  <c r="U874"/>
  <c r="U863"/>
  <c r="U834"/>
  <c r="U825"/>
  <c r="U837"/>
  <c r="Q915"/>
  <c r="Q917"/>
  <c r="Q913"/>
  <c r="Q907"/>
  <c r="Q876"/>
  <c r="Q880"/>
  <c r="Q874"/>
  <c r="Q863"/>
  <c r="Q834"/>
  <c r="Q825"/>
  <c r="Q837"/>
  <c r="M915"/>
  <c r="M917"/>
  <c r="M913"/>
  <c r="M907"/>
  <c r="M876"/>
  <c r="M880"/>
  <c r="M874"/>
  <c r="M863"/>
  <c r="M834"/>
  <c r="M825"/>
  <c r="M837"/>
  <c r="I880"/>
  <c r="I915"/>
  <c r="I917"/>
  <c r="I913"/>
  <c r="I907"/>
  <c r="I876"/>
  <c r="I874"/>
  <c r="I863"/>
  <c r="I837"/>
  <c r="I834"/>
  <c r="I825"/>
  <c r="AC801"/>
  <c r="AC803"/>
  <c r="AC799"/>
  <c r="AC793"/>
  <c r="AC766"/>
  <c r="AC762"/>
  <c r="AC760"/>
  <c r="AC749"/>
  <c r="AC723"/>
  <c r="AC720"/>
  <c r="AC711"/>
  <c r="Y801"/>
  <c r="Y803"/>
  <c r="Y799"/>
  <c r="Y793"/>
  <c r="Y766"/>
  <c r="Y762"/>
  <c r="Y760"/>
  <c r="Y749"/>
  <c r="Y723"/>
  <c r="Y720"/>
  <c r="Y711"/>
  <c r="U801"/>
  <c r="U803"/>
  <c r="U799"/>
  <c r="U793"/>
  <c r="U766"/>
  <c r="U762"/>
  <c r="U760"/>
  <c r="U749"/>
  <c r="U723"/>
  <c r="U720"/>
  <c r="U711"/>
  <c r="Q801"/>
  <c r="Q803"/>
  <c r="Q799"/>
  <c r="Q793"/>
  <c r="Q766"/>
  <c r="Q762"/>
  <c r="Q760"/>
  <c r="Q749"/>
  <c r="Q723"/>
  <c r="Q720"/>
  <c r="Q711"/>
  <c r="M801"/>
  <c r="M803"/>
  <c r="M799"/>
  <c r="M793"/>
  <c r="M766"/>
  <c r="M762"/>
  <c r="M760"/>
  <c r="M749"/>
  <c r="M723"/>
  <c r="M720"/>
  <c r="M711"/>
  <c r="I801"/>
  <c r="I803"/>
  <c r="I799"/>
  <c r="I793"/>
  <c r="I766"/>
  <c r="I762"/>
  <c r="I760"/>
  <c r="I749"/>
  <c r="I723"/>
  <c r="I720"/>
  <c r="I711"/>
  <c r="AC687"/>
  <c r="AC689"/>
  <c r="AC685"/>
  <c r="AC679"/>
  <c r="AC652"/>
  <c r="AC648"/>
  <c r="AC646"/>
  <c r="AC635"/>
  <c r="AC609"/>
  <c r="AC606"/>
  <c r="AC597"/>
  <c r="Y687"/>
  <c r="Y689"/>
  <c r="Y685"/>
  <c r="Y679"/>
  <c r="Y652"/>
  <c r="Y648"/>
  <c r="Y646"/>
  <c r="Y635"/>
  <c r="Y609"/>
  <c r="Y606"/>
  <c r="Y597"/>
  <c r="U687"/>
  <c r="U689"/>
  <c r="U685"/>
  <c r="U679"/>
  <c r="U652"/>
  <c r="U648"/>
  <c r="U646"/>
  <c r="U635"/>
  <c r="U609"/>
  <c r="U606"/>
  <c r="U597"/>
  <c r="Q687"/>
  <c r="Q689"/>
  <c r="Q685"/>
  <c r="Q679"/>
  <c r="Q652"/>
  <c r="Q648"/>
  <c r="Q646"/>
  <c r="Q635"/>
  <c r="Q609"/>
  <c r="Q606"/>
  <c r="Q597"/>
  <c r="AA1143"/>
  <c r="AA1145"/>
  <c r="AA1141"/>
  <c r="AA1135"/>
  <c r="AA1108"/>
  <c r="AA1104"/>
  <c r="AA1102"/>
  <c r="AA1091"/>
  <c r="AA1065"/>
  <c r="AA1062"/>
  <c r="AA1053"/>
  <c r="K1143"/>
  <c r="K1145"/>
  <c r="K1141"/>
  <c r="K1135"/>
  <c r="K1108"/>
  <c r="K1104"/>
  <c r="K1102"/>
  <c r="K1091"/>
  <c r="K1065"/>
  <c r="K1062"/>
  <c r="K1053"/>
  <c r="T1029"/>
  <c r="T1031"/>
  <c r="T1027"/>
  <c r="T1021"/>
  <c r="T977"/>
  <c r="T951"/>
  <c r="T948"/>
  <c r="T939"/>
  <c r="T994"/>
  <c r="T990"/>
  <c r="T988"/>
  <c r="L1029"/>
  <c r="L1031"/>
  <c r="L1027"/>
  <c r="L1021"/>
  <c r="L977"/>
  <c r="L951"/>
  <c r="L948"/>
  <c r="L939"/>
  <c r="L994"/>
  <c r="L990"/>
  <c r="L988"/>
  <c r="AB876"/>
  <c r="AB880"/>
  <c r="AB874"/>
  <c r="AB915"/>
  <c r="AB917"/>
  <c r="AB913"/>
  <c r="AB907"/>
  <c r="AB863"/>
  <c r="AB837"/>
  <c r="AB834"/>
  <c r="AB825"/>
  <c r="T876"/>
  <c r="T880"/>
  <c r="T874"/>
  <c r="T915"/>
  <c r="T917"/>
  <c r="T913"/>
  <c r="T907"/>
  <c r="T863"/>
  <c r="T837"/>
  <c r="T834"/>
  <c r="T825"/>
  <c r="L876"/>
  <c r="L880"/>
  <c r="L874"/>
  <c r="L863"/>
  <c r="L915"/>
  <c r="L917"/>
  <c r="L913"/>
  <c r="L907"/>
  <c r="L837"/>
  <c r="L834"/>
  <c r="L825"/>
  <c r="AB720"/>
  <c r="AB711"/>
  <c r="AB801"/>
  <c r="AB803"/>
  <c r="AB799"/>
  <c r="AB793"/>
  <c r="AB766"/>
  <c r="AB762"/>
  <c r="AB760"/>
  <c r="AB749"/>
  <c r="AB723"/>
  <c r="T720"/>
  <c r="T711"/>
  <c r="T801"/>
  <c r="T803"/>
  <c r="T799"/>
  <c r="T793"/>
  <c r="T766"/>
  <c r="T762"/>
  <c r="T760"/>
  <c r="T749"/>
  <c r="T723"/>
  <c r="L720"/>
  <c r="L711"/>
  <c r="L801"/>
  <c r="L803"/>
  <c r="L799"/>
  <c r="L793"/>
  <c r="L766"/>
  <c r="L762"/>
  <c r="L760"/>
  <c r="L749"/>
  <c r="L723"/>
  <c r="AB687"/>
  <c r="AB689"/>
  <c r="AB685"/>
  <c r="AB679"/>
  <c r="AB652"/>
  <c r="AB648"/>
  <c r="AB646"/>
  <c r="AB635"/>
  <c r="AB606"/>
  <c r="AB597"/>
  <c r="AB609"/>
  <c r="T687"/>
  <c r="T689"/>
  <c r="T685"/>
  <c r="T679"/>
  <c r="T652"/>
  <c r="T648"/>
  <c r="T646"/>
  <c r="T635"/>
  <c r="T609"/>
  <c r="T606"/>
  <c r="T597"/>
  <c r="M687"/>
  <c r="M689"/>
  <c r="M685"/>
  <c r="M679"/>
  <c r="M652"/>
  <c r="M648"/>
  <c r="M646"/>
  <c r="M635"/>
  <c r="M609"/>
  <c r="M606"/>
  <c r="M597"/>
  <c r="I687"/>
  <c r="I689"/>
  <c r="I685"/>
  <c r="I679"/>
  <c r="I652"/>
  <c r="I648"/>
  <c r="I646"/>
  <c r="I635"/>
  <c r="I609"/>
  <c r="I606"/>
  <c r="I597"/>
  <c r="AC521"/>
  <c r="AC495"/>
  <c r="AC492"/>
  <c r="AC573"/>
  <c r="AC575"/>
  <c r="AC571"/>
  <c r="AC565"/>
  <c r="AC538"/>
  <c r="AC534"/>
  <c r="AC532"/>
  <c r="Y521"/>
  <c r="Y495"/>
  <c r="Y492"/>
  <c r="Y573"/>
  <c r="Y575"/>
  <c r="Y571"/>
  <c r="Y565"/>
  <c r="Y538"/>
  <c r="Y534"/>
  <c r="Y532"/>
  <c r="U521"/>
  <c r="U495"/>
  <c r="U492"/>
  <c r="U573"/>
  <c r="U575"/>
  <c r="U571"/>
  <c r="U565"/>
  <c r="U538"/>
  <c r="U534"/>
  <c r="U532"/>
  <c r="Q521"/>
  <c r="Q495"/>
  <c r="Q492"/>
  <c r="Q573"/>
  <c r="Q575"/>
  <c r="Q571"/>
  <c r="Q565"/>
  <c r="Q538"/>
  <c r="Q534"/>
  <c r="Q532"/>
  <c r="M521"/>
  <c r="M495"/>
  <c r="M492"/>
  <c r="M573"/>
  <c r="M575"/>
  <c r="M571"/>
  <c r="M565"/>
  <c r="M538"/>
  <c r="M534"/>
  <c r="M532"/>
  <c r="I521"/>
  <c r="I495"/>
  <c r="I492"/>
  <c r="I573"/>
  <c r="I575"/>
  <c r="I571"/>
  <c r="I565"/>
  <c r="I538"/>
  <c r="I534"/>
  <c r="I532"/>
  <c r="AE1143"/>
  <c r="AE1145"/>
  <c r="AE1141"/>
  <c r="AE1135"/>
  <c r="AE1108"/>
  <c r="AE1104"/>
  <c r="AE1102"/>
  <c r="AE1091"/>
  <c r="AE1065"/>
  <c r="AE1062"/>
  <c r="AE1053"/>
  <c r="W1029"/>
  <c r="W1031"/>
  <c r="W1027"/>
  <c r="W1021"/>
  <c r="W994"/>
  <c r="W990"/>
  <c r="W988"/>
  <c r="W977"/>
  <c r="W951"/>
  <c r="W948"/>
  <c r="W939"/>
  <c r="AD876"/>
  <c r="AD880"/>
  <c r="AD874"/>
  <c r="AD915"/>
  <c r="AD917"/>
  <c r="AD913"/>
  <c r="AD907"/>
  <c r="AD837"/>
  <c r="AD863"/>
  <c r="AD834"/>
  <c r="AD825"/>
  <c r="N876"/>
  <c r="N880"/>
  <c r="N874"/>
  <c r="N863"/>
  <c r="N915"/>
  <c r="N917"/>
  <c r="N913"/>
  <c r="N907"/>
  <c r="N837"/>
  <c r="N834"/>
  <c r="N825"/>
  <c r="V720"/>
  <c r="V711"/>
  <c r="V801"/>
  <c r="V803"/>
  <c r="V799"/>
  <c r="V793"/>
  <c r="V766"/>
  <c r="V762"/>
  <c r="V760"/>
  <c r="V749"/>
  <c r="V723"/>
  <c r="AD687"/>
  <c r="AD689"/>
  <c r="AD685"/>
  <c r="AD679"/>
  <c r="AD652"/>
  <c r="AD648"/>
  <c r="AD646"/>
  <c r="AD635"/>
  <c r="AD606"/>
  <c r="AD597"/>
  <c r="AD609"/>
  <c r="N609"/>
  <c r="N687"/>
  <c r="N689"/>
  <c r="N685"/>
  <c r="N679"/>
  <c r="N652"/>
  <c r="N648"/>
  <c r="N646"/>
  <c r="N635"/>
  <c r="N606"/>
  <c r="N597"/>
  <c r="AD573"/>
  <c r="AD575"/>
  <c r="AD571"/>
  <c r="AD565"/>
  <c r="AD538"/>
  <c r="AD534"/>
  <c r="AD532"/>
  <c r="AD521"/>
  <c r="AD495"/>
  <c r="AD492"/>
  <c r="V573"/>
  <c r="V575"/>
  <c r="V571"/>
  <c r="V565"/>
  <c r="V538"/>
  <c r="V534"/>
  <c r="V532"/>
  <c r="V521"/>
  <c r="V495"/>
  <c r="V492"/>
  <c r="N573"/>
  <c r="N575"/>
  <c r="N571"/>
  <c r="N565"/>
  <c r="N538"/>
  <c r="N534"/>
  <c r="N532"/>
  <c r="N521"/>
  <c r="N495"/>
  <c r="N492"/>
  <c r="W1143"/>
  <c r="W1145"/>
  <c r="W1141"/>
  <c r="W1135"/>
  <c r="W1108"/>
  <c r="W1104"/>
  <c r="W1102"/>
  <c r="W1091"/>
  <c r="W1065"/>
  <c r="W1062"/>
  <c r="W1053"/>
  <c r="Z876"/>
  <c r="Z880"/>
  <c r="Z874"/>
  <c r="Z915"/>
  <c r="Z917"/>
  <c r="Z913"/>
  <c r="Z907"/>
  <c r="Z837"/>
  <c r="Z863"/>
  <c r="Z834"/>
  <c r="Z825"/>
  <c r="R720"/>
  <c r="R711"/>
  <c r="R801"/>
  <c r="R803"/>
  <c r="R799"/>
  <c r="R793"/>
  <c r="R766"/>
  <c r="R762"/>
  <c r="R760"/>
  <c r="R749"/>
  <c r="R723"/>
  <c r="L609"/>
  <c r="L687"/>
  <c r="L689"/>
  <c r="L685"/>
  <c r="L679"/>
  <c r="L652"/>
  <c r="L648"/>
  <c r="L646"/>
  <c r="L635"/>
  <c r="L606"/>
  <c r="L597"/>
  <c r="T573"/>
  <c r="T575"/>
  <c r="T571"/>
  <c r="T565"/>
  <c r="T538"/>
  <c r="T534"/>
  <c r="T532"/>
  <c r="T521"/>
  <c r="T495"/>
  <c r="T492"/>
  <c r="Z720"/>
  <c r="Z711"/>
  <c r="Z801"/>
  <c r="Z803"/>
  <c r="Z799"/>
  <c r="Z793"/>
  <c r="Z766"/>
  <c r="Z762"/>
  <c r="Z760"/>
  <c r="Z749"/>
  <c r="Z723"/>
  <c r="X573"/>
  <c r="X575"/>
  <c r="X571"/>
  <c r="X565"/>
  <c r="X538"/>
  <c r="X534"/>
  <c r="X532"/>
  <c r="X521"/>
  <c r="X495"/>
  <c r="X492"/>
  <c r="H687"/>
  <c r="H685"/>
  <c r="H679"/>
  <c r="H652"/>
  <c r="H648"/>
  <c r="H646"/>
  <c r="H635"/>
  <c r="H609"/>
  <c r="H606"/>
  <c r="H597"/>
  <c r="P573"/>
  <c r="P575"/>
  <c r="P571"/>
  <c r="P565"/>
  <c r="P538"/>
  <c r="P534"/>
  <c r="P532"/>
  <c r="P521"/>
  <c r="P495"/>
  <c r="P492"/>
  <c r="AE1029"/>
  <c r="AE1031"/>
  <c r="AE1027"/>
  <c r="AE1021"/>
  <c r="AE994"/>
  <c r="AE990"/>
  <c r="AE988"/>
  <c r="AE977"/>
  <c r="AE951"/>
  <c r="AE948"/>
  <c r="AE939"/>
  <c r="G555"/>
  <c r="G585"/>
  <c r="G1023"/>
  <c r="V1108"/>
  <c r="V1104"/>
  <c r="V1102"/>
  <c r="V1091"/>
  <c r="V1065"/>
  <c r="V1062"/>
  <c r="V1053"/>
  <c r="V1143"/>
  <c r="V1145"/>
  <c r="V1141"/>
  <c r="V1135"/>
  <c r="N1108"/>
  <c r="N1104"/>
  <c r="N1102"/>
  <c r="N1091"/>
  <c r="N1065"/>
  <c r="N1062"/>
  <c r="N1053"/>
  <c r="N1143"/>
  <c r="N1145"/>
  <c r="N1141"/>
  <c r="N1135"/>
  <c r="AB1108"/>
  <c r="AB1104"/>
  <c r="AB1102"/>
  <c r="AB1091"/>
  <c r="AB1065"/>
  <c r="AB1062"/>
  <c r="AB1053"/>
  <c r="AB1143"/>
  <c r="AB1145"/>
  <c r="AB1141"/>
  <c r="AB1135"/>
  <c r="X1108"/>
  <c r="X1104"/>
  <c r="X1102"/>
  <c r="X1091"/>
  <c r="X1065"/>
  <c r="X1062"/>
  <c r="X1053"/>
  <c r="X1143"/>
  <c r="X1145"/>
  <c r="X1141"/>
  <c r="X1135"/>
  <c r="T1108"/>
  <c r="T1104"/>
  <c r="T1102"/>
  <c r="T1091"/>
  <c r="T1065"/>
  <c r="T1062"/>
  <c r="T1053"/>
  <c r="T1143"/>
  <c r="T1145"/>
  <c r="T1141"/>
  <c r="T1135"/>
  <c r="P1108"/>
  <c r="P1104"/>
  <c r="P1102"/>
  <c r="P1091"/>
  <c r="P1065"/>
  <c r="P1062"/>
  <c r="P1053"/>
  <c r="P1143"/>
  <c r="P1145"/>
  <c r="P1141"/>
  <c r="P1135"/>
  <c r="L1108"/>
  <c r="L1104"/>
  <c r="L1102"/>
  <c r="L1091"/>
  <c r="L1065"/>
  <c r="L1062"/>
  <c r="L1053"/>
  <c r="L1143"/>
  <c r="L1145"/>
  <c r="L1141"/>
  <c r="L1135"/>
  <c r="H1108"/>
  <c r="H1104"/>
  <c r="H1102"/>
  <c r="H1091"/>
  <c r="H1065"/>
  <c r="H1062"/>
  <c r="H1053"/>
  <c r="H1143"/>
  <c r="H1141"/>
  <c r="H1135"/>
  <c r="AB1029"/>
  <c r="AB1031"/>
  <c r="AB1027"/>
  <c r="AB1021"/>
  <c r="AB977"/>
  <c r="AB951"/>
  <c r="AB948"/>
  <c r="AB939"/>
  <c r="AB994"/>
  <c r="AB990"/>
  <c r="AB988"/>
  <c r="X1029"/>
  <c r="X1031"/>
  <c r="X1027"/>
  <c r="X1021"/>
  <c r="X977"/>
  <c r="X951"/>
  <c r="X948"/>
  <c r="X939"/>
  <c r="X994"/>
  <c r="X990"/>
  <c r="X988"/>
  <c r="Y1143"/>
  <c r="Y1145"/>
  <c r="Y1141"/>
  <c r="Y1135"/>
  <c r="Y1065"/>
  <c r="Y1062"/>
  <c r="Y1053"/>
  <c r="Y1108"/>
  <c r="Y1104"/>
  <c r="Y1102"/>
  <c r="Y1091"/>
  <c r="Q1143"/>
  <c r="Q1145"/>
  <c r="Q1141"/>
  <c r="Q1135"/>
  <c r="Q1065"/>
  <c r="Q1062"/>
  <c r="Q1053"/>
  <c r="Q1108"/>
  <c r="Q1104"/>
  <c r="Q1102"/>
  <c r="Q1091"/>
  <c r="I1143"/>
  <c r="I1145"/>
  <c r="I1141"/>
  <c r="I1135"/>
  <c r="I1065"/>
  <c r="I1062"/>
  <c r="I1053"/>
  <c r="I1108"/>
  <c r="I1104"/>
  <c r="I1102"/>
  <c r="I1091"/>
  <c r="Y1029"/>
  <c r="Y1031"/>
  <c r="Y1027"/>
  <c r="Y1021"/>
  <c r="Y994"/>
  <c r="Y990"/>
  <c r="Y988"/>
  <c r="Y977"/>
  <c r="Y951"/>
  <c r="Y948"/>
  <c r="Y939"/>
  <c r="S1029"/>
  <c r="S1031"/>
  <c r="S1027"/>
  <c r="S1021"/>
  <c r="S994"/>
  <c r="S990"/>
  <c r="S988"/>
  <c r="S977"/>
  <c r="S951"/>
  <c r="S948"/>
  <c r="S939"/>
  <c r="O1029"/>
  <c r="O1031"/>
  <c r="O1027"/>
  <c r="O1021"/>
  <c r="O994"/>
  <c r="O990"/>
  <c r="O988"/>
  <c r="O977"/>
  <c r="O951"/>
  <c r="O948"/>
  <c r="O939"/>
  <c r="K1029"/>
  <c r="K1031"/>
  <c r="K1027"/>
  <c r="K1021"/>
  <c r="K994"/>
  <c r="K990"/>
  <c r="K988"/>
  <c r="K977"/>
  <c r="K951"/>
  <c r="K948"/>
  <c r="K939"/>
  <c r="AE915"/>
  <c r="AE917"/>
  <c r="AE913"/>
  <c r="AE907"/>
  <c r="AE876"/>
  <c r="AE880"/>
  <c r="AE874"/>
  <c r="AE863"/>
  <c r="AE834"/>
  <c r="AE825"/>
  <c r="AE837"/>
  <c r="AA915"/>
  <c r="AA917"/>
  <c r="AA913"/>
  <c r="AA907"/>
  <c r="AA876"/>
  <c r="AA880"/>
  <c r="AA874"/>
  <c r="AA863"/>
  <c r="AA834"/>
  <c r="AA825"/>
  <c r="AA837"/>
  <c r="W915"/>
  <c r="W917"/>
  <c r="W913"/>
  <c r="W907"/>
  <c r="W876"/>
  <c r="W880"/>
  <c r="W874"/>
  <c r="W863"/>
  <c r="W834"/>
  <c r="W825"/>
  <c r="W837"/>
  <c r="S915"/>
  <c r="S917"/>
  <c r="S913"/>
  <c r="S907"/>
  <c r="S876"/>
  <c r="S880"/>
  <c r="S874"/>
  <c r="S863"/>
  <c r="S834"/>
  <c r="S825"/>
  <c r="S837"/>
  <c r="O915"/>
  <c r="O917"/>
  <c r="O913"/>
  <c r="O907"/>
  <c r="O876"/>
  <c r="O880"/>
  <c r="O874"/>
  <c r="O863"/>
  <c r="O834"/>
  <c r="O825"/>
  <c r="O837"/>
  <c r="K915"/>
  <c r="K917"/>
  <c r="K913"/>
  <c r="K907"/>
  <c r="K876"/>
  <c r="K880"/>
  <c r="K874"/>
  <c r="K863"/>
  <c r="K834"/>
  <c r="K825"/>
  <c r="K837"/>
  <c r="AE801"/>
  <c r="AE803"/>
  <c r="AE799"/>
  <c r="AE793"/>
  <c r="AE766"/>
  <c r="AE762"/>
  <c r="AE760"/>
  <c r="AE749"/>
  <c r="AE723"/>
  <c r="AE720"/>
  <c r="AE711"/>
  <c r="AA801"/>
  <c r="AA803"/>
  <c r="AA799"/>
  <c r="AA793"/>
  <c r="AA766"/>
  <c r="AA762"/>
  <c r="AA760"/>
  <c r="AA749"/>
  <c r="AA723"/>
  <c r="AA720"/>
  <c r="AA711"/>
  <c r="W801"/>
  <c r="W803"/>
  <c r="W799"/>
  <c r="W793"/>
  <c r="W766"/>
  <c r="W762"/>
  <c r="W760"/>
  <c r="W749"/>
  <c r="W723"/>
  <c r="W720"/>
  <c r="W711"/>
  <c r="S801"/>
  <c r="S803"/>
  <c r="S799"/>
  <c r="S793"/>
  <c r="S766"/>
  <c r="S762"/>
  <c r="S760"/>
  <c r="S749"/>
  <c r="S723"/>
  <c r="S720"/>
  <c r="S711"/>
  <c r="O801"/>
  <c r="O803"/>
  <c r="O799"/>
  <c r="O793"/>
  <c r="O766"/>
  <c r="O762"/>
  <c r="O760"/>
  <c r="O749"/>
  <c r="O723"/>
  <c r="O720"/>
  <c r="O711"/>
  <c r="K801"/>
  <c r="K803"/>
  <c r="K799"/>
  <c r="K793"/>
  <c r="K766"/>
  <c r="K762"/>
  <c r="K760"/>
  <c r="K749"/>
  <c r="K723"/>
  <c r="K720"/>
  <c r="K711"/>
  <c r="AE687"/>
  <c r="AE689"/>
  <c r="AE685"/>
  <c r="AE679"/>
  <c r="AE652"/>
  <c r="AE648"/>
  <c r="AE646"/>
  <c r="AE635"/>
  <c r="AE609"/>
  <c r="AE606"/>
  <c r="AE597"/>
  <c r="AA687"/>
  <c r="AA689"/>
  <c r="AA685"/>
  <c r="AA679"/>
  <c r="AA652"/>
  <c r="AA648"/>
  <c r="AA646"/>
  <c r="AA635"/>
  <c r="AA609"/>
  <c r="AA606"/>
  <c r="AA597"/>
  <c r="W687"/>
  <c r="W689"/>
  <c r="W685"/>
  <c r="W679"/>
  <c r="W652"/>
  <c r="W648"/>
  <c r="W646"/>
  <c r="W635"/>
  <c r="W609"/>
  <c r="W606"/>
  <c r="W597"/>
  <c r="S687"/>
  <c r="S689"/>
  <c r="S685"/>
  <c r="S679"/>
  <c r="S652"/>
  <c r="S648"/>
  <c r="S646"/>
  <c r="S635"/>
  <c r="S609"/>
  <c r="S606"/>
  <c r="S597"/>
  <c r="O687"/>
  <c r="O689"/>
  <c r="O685"/>
  <c r="O679"/>
  <c r="O652"/>
  <c r="O648"/>
  <c r="O646"/>
  <c r="O635"/>
  <c r="O609"/>
  <c r="O606"/>
  <c r="O597"/>
  <c r="S1143"/>
  <c r="S1145"/>
  <c r="S1141"/>
  <c r="S1135"/>
  <c r="S1108"/>
  <c r="S1104"/>
  <c r="S1102"/>
  <c r="S1091"/>
  <c r="S1065"/>
  <c r="S1062"/>
  <c r="S1053"/>
  <c r="AA1029"/>
  <c r="AA1031"/>
  <c r="AA1027"/>
  <c r="AA1021"/>
  <c r="AA994"/>
  <c r="AA990"/>
  <c r="AA988"/>
  <c r="AA977"/>
  <c r="AA951"/>
  <c r="AA948"/>
  <c r="AA939"/>
  <c r="P1029"/>
  <c r="P1031"/>
  <c r="P1027"/>
  <c r="P1021"/>
  <c r="P977"/>
  <c r="P951"/>
  <c r="P948"/>
  <c r="P939"/>
  <c r="P994"/>
  <c r="P990"/>
  <c r="P988"/>
  <c r="H1029"/>
  <c r="H1027"/>
  <c r="H1021"/>
  <c r="H977"/>
  <c r="H951"/>
  <c r="H948"/>
  <c r="H939"/>
  <c r="H994"/>
  <c r="H990"/>
  <c r="H988"/>
  <c r="X876"/>
  <c r="X880"/>
  <c r="X874"/>
  <c r="X915"/>
  <c r="X917"/>
  <c r="X913"/>
  <c r="X907"/>
  <c r="X863"/>
  <c r="X837"/>
  <c r="X834"/>
  <c r="X825"/>
  <c r="P876"/>
  <c r="P880"/>
  <c r="P874"/>
  <c r="P863"/>
  <c r="P915"/>
  <c r="P917"/>
  <c r="P913"/>
  <c r="P907"/>
  <c r="P837"/>
  <c r="P834"/>
  <c r="P825"/>
  <c r="H876"/>
  <c r="H880"/>
  <c r="H874"/>
  <c r="H915"/>
  <c r="H913"/>
  <c r="H907"/>
  <c r="H863"/>
  <c r="H837"/>
  <c r="H834"/>
  <c r="H825"/>
  <c r="X720"/>
  <c r="X711"/>
  <c r="X801"/>
  <c r="X803"/>
  <c r="X799"/>
  <c r="X793"/>
  <c r="X766"/>
  <c r="X762"/>
  <c r="X760"/>
  <c r="X749"/>
  <c r="X723"/>
  <c r="P720"/>
  <c r="P711"/>
  <c r="P801"/>
  <c r="P803"/>
  <c r="P799"/>
  <c r="P793"/>
  <c r="P766"/>
  <c r="P762"/>
  <c r="P760"/>
  <c r="P749"/>
  <c r="P723"/>
  <c r="H720"/>
  <c r="H711"/>
  <c r="H801"/>
  <c r="H799"/>
  <c r="H793"/>
  <c r="H766"/>
  <c r="H762"/>
  <c r="H760"/>
  <c r="H749"/>
  <c r="H723"/>
  <c r="X687"/>
  <c r="X689"/>
  <c r="X685"/>
  <c r="X679"/>
  <c r="X652"/>
  <c r="X648"/>
  <c r="X646"/>
  <c r="X635"/>
  <c r="X606"/>
  <c r="X597"/>
  <c r="X609"/>
  <c r="P609"/>
  <c r="P687"/>
  <c r="P689"/>
  <c r="P685"/>
  <c r="P679"/>
  <c r="P652"/>
  <c r="P648"/>
  <c r="P646"/>
  <c r="P635"/>
  <c r="P606"/>
  <c r="P597"/>
  <c r="K687"/>
  <c r="K689"/>
  <c r="K685"/>
  <c r="K679"/>
  <c r="K652"/>
  <c r="K648"/>
  <c r="K646"/>
  <c r="K635"/>
  <c r="K609"/>
  <c r="K606"/>
  <c r="K597"/>
  <c r="AE521"/>
  <c r="AE495"/>
  <c r="AE492"/>
  <c r="AE573"/>
  <c r="AE575"/>
  <c r="AE571"/>
  <c r="AE565"/>
  <c r="AE538"/>
  <c r="AE534"/>
  <c r="AE532"/>
  <c r="AA521"/>
  <c r="AA495"/>
  <c r="AA492"/>
  <c r="AA573"/>
  <c r="AA575"/>
  <c r="AA571"/>
  <c r="AA565"/>
  <c r="AA538"/>
  <c r="AA534"/>
  <c r="AA532"/>
  <c r="W521"/>
  <c r="W495"/>
  <c r="W492"/>
  <c r="W573"/>
  <c r="W575"/>
  <c r="W571"/>
  <c r="W565"/>
  <c r="W538"/>
  <c r="W534"/>
  <c r="W532"/>
  <c r="S521"/>
  <c r="S495"/>
  <c r="S492"/>
  <c r="S573"/>
  <c r="S575"/>
  <c r="S571"/>
  <c r="S565"/>
  <c r="S538"/>
  <c r="S534"/>
  <c r="S532"/>
  <c r="O521"/>
  <c r="O495"/>
  <c r="O492"/>
  <c r="O573"/>
  <c r="O575"/>
  <c r="O571"/>
  <c r="O565"/>
  <c r="O538"/>
  <c r="O534"/>
  <c r="O532"/>
  <c r="K521"/>
  <c r="K495"/>
  <c r="K492"/>
  <c r="K573"/>
  <c r="K575"/>
  <c r="K571"/>
  <c r="K565"/>
  <c r="K538"/>
  <c r="K534"/>
  <c r="K532"/>
  <c r="O1143"/>
  <c r="O1145"/>
  <c r="O1141"/>
  <c r="O1135"/>
  <c r="O1108"/>
  <c r="O1104"/>
  <c r="O1102"/>
  <c r="O1091"/>
  <c r="O1065"/>
  <c r="O1062"/>
  <c r="O1053"/>
  <c r="N977"/>
  <c r="N951"/>
  <c r="N948"/>
  <c r="N939"/>
  <c r="N1029"/>
  <c r="N1031"/>
  <c r="N1027"/>
  <c r="N1021"/>
  <c r="N994"/>
  <c r="N990"/>
  <c r="N988"/>
  <c r="V876"/>
  <c r="V880"/>
  <c r="V874"/>
  <c r="V915"/>
  <c r="V917"/>
  <c r="V913"/>
  <c r="V907"/>
  <c r="V837"/>
  <c r="V863"/>
  <c r="V834"/>
  <c r="V825"/>
  <c r="AD720"/>
  <c r="AD711"/>
  <c r="AD801"/>
  <c r="AD803"/>
  <c r="AD799"/>
  <c r="AD793"/>
  <c r="AD766"/>
  <c r="AD762"/>
  <c r="AD760"/>
  <c r="AD749"/>
  <c r="AD723"/>
  <c r="N720"/>
  <c r="N711"/>
  <c r="N801"/>
  <c r="N803"/>
  <c r="N799"/>
  <c r="N793"/>
  <c r="N766"/>
  <c r="N762"/>
  <c r="N760"/>
  <c r="N749"/>
  <c r="N723"/>
  <c r="V687"/>
  <c r="V689"/>
  <c r="V685"/>
  <c r="V679"/>
  <c r="V652"/>
  <c r="V648"/>
  <c r="V646"/>
  <c r="V635"/>
  <c r="V606"/>
  <c r="V597"/>
  <c r="V609"/>
  <c r="J609"/>
  <c r="J687"/>
  <c r="J689"/>
  <c r="J685"/>
  <c r="J679"/>
  <c r="J652"/>
  <c r="J648"/>
  <c r="J646"/>
  <c r="J635"/>
  <c r="J606"/>
  <c r="J597"/>
  <c r="Z573"/>
  <c r="Z575"/>
  <c r="Z571"/>
  <c r="Z565"/>
  <c r="Z538"/>
  <c r="Z534"/>
  <c r="Z532"/>
  <c r="Z521"/>
  <c r="Z495"/>
  <c r="Z492"/>
  <c r="R573"/>
  <c r="R575"/>
  <c r="R571"/>
  <c r="R565"/>
  <c r="R538"/>
  <c r="R534"/>
  <c r="R532"/>
  <c r="R521"/>
  <c r="R495"/>
  <c r="R492"/>
  <c r="J573"/>
  <c r="J575"/>
  <c r="J571"/>
  <c r="J565"/>
  <c r="J538"/>
  <c r="J534"/>
  <c r="J532"/>
  <c r="J521"/>
  <c r="J495"/>
  <c r="J492"/>
  <c r="R977"/>
  <c r="R951"/>
  <c r="R948"/>
  <c r="R939"/>
  <c r="R1029"/>
  <c r="R1031"/>
  <c r="R1027"/>
  <c r="R1021"/>
  <c r="R994"/>
  <c r="R990"/>
  <c r="R988"/>
  <c r="J876"/>
  <c r="J880"/>
  <c r="J874"/>
  <c r="J863"/>
  <c r="J915"/>
  <c r="J917"/>
  <c r="J913"/>
  <c r="J907"/>
  <c r="J837"/>
  <c r="J834"/>
  <c r="J825"/>
  <c r="Z687"/>
  <c r="Z689"/>
  <c r="Z685"/>
  <c r="Z679"/>
  <c r="Z652"/>
  <c r="Z648"/>
  <c r="Z646"/>
  <c r="Z635"/>
  <c r="Z606"/>
  <c r="Z597"/>
  <c r="Z609"/>
  <c r="AB573"/>
  <c r="AB575"/>
  <c r="AB571"/>
  <c r="AB565"/>
  <c r="AB538"/>
  <c r="AB534"/>
  <c r="AB532"/>
  <c r="AB521"/>
  <c r="AB495"/>
  <c r="AB492"/>
  <c r="L573"/>
  <c r="L575"/>
  <c r="L571"/>
  <c r="L565"/>
  <c r="L538"/>
  <c r="L534"/>
  <c r="L532"/>
  <c r="L521"/>
  <c r="L495"/>
  <c r="L492"/>
  <c r="J1029"/>
  <c r="J1031"/>
  <c r="J977"/>
  <c r="J951"/>
  <c r="J948"/>
  <c r="J1027"/>
  <c r="J1021"/>
  <c r="J994"/>
  <c r="J990"/>
  <c r="J988"/>
  <c r="J939"/>
  <c r="R609"/>
  <c r="R687"/>
  <c r="R689"/>
  <c r="R685"/>
  <c r="R679"/>
  <c r="R652"/>
  <c r="R648"/>
  <c r="R646"/>
  <c r="R635"/>
  <c r="R606"/>
  <c r="R597"/>
  <c r="H573"/>
  <c r="H571"/>
  <c r="H565"/>
  <c r="H538"/>
  <c r="H534"/>
  <c r="H532"/>
  <c r="H521"/>
  <c r="H495"/>
  <c r="H492"/>
  <c r="R876"/>
  <c r="R880"/>
  <c r="R874"/>
  <c r="R863"/>
  <c r="R915"/>
  <c r="R917"/>
  <c r="R913"/>
  <c r="R907"/>
  <c r="R837"/>
  <c r="R834"/>
  <c r="R825"/>
  <c r="J720"/>
  <c r="J711"/>
  <c r="J801"/>
  <c r="J803"/>
  <c r="J799"/>
  <c r="J793"/>
  <c r="J766"/>
  <c r="J762"/>
  <c r="J760"/>
  <c r="J749"/>
  <c r="J723"/>
  <c r="AD1108"/>
  <c r="AD1104"/>
  <c r="AD1102"/>
  <c r="AD1091"/>
  <c r="AD1065"/>
  <c r="AD1062"/>
  <c r="AD1053"/>
  <c r="AD1143"/>
  <c r="AD1145"/>
  <c r="AD1141"/>
  <c r="AD1135"/>
  <c r="G587"/>
  <c r="G627"/>
  <c r="G671"/>
  <c r="G513"/>
  <c r="G557"/>
  <c r="G701"/>
  <c r="G785"/>
  <c r="G929"/>
  <c r="G1083"/>
  <c r="G741"/>
  <c r="G815"/>
  <c r="G855"/>
  <c r="G899"/>
  <c r="G969"/>
  <c r="G1013"/>
  <c r="G1043"/>
  <c r="G1127"/>
  <c r="G1157"/>
  <c r="G527"/>
  <c r="G681"/>
  <c r="G669"/>
  <c r="G699"/>
  <c r="G983"/>
  <c r="G783"/>
  <c r="G813"/>
  <c r="G795"/>
  <c r="G869"/>
  <c r="G1097"/>
  <c r="G1137"/>
  <c r="G897"/>
  <c r="G927"/>
  <c r="G1011"/>
  <c r="G1125"/>
  <c r="G1041"/>
  <c r="G1155"/>
  <c r="AC483"/>
  <c r="Y483"/>
  <c r="U483"/>
  <c r="Q483"/>
  <c r="M483"/>
  <c r="I483"/>
  <c r="AD483"/>
  <c r="V483"/>
  <c r="N483"/>
  <c r="T483"/>
  <c r="X483"/>
  <c r="P483"/>
  <c r="AE483"/>
  <c r="AA483"/>
  <c r="W483"/>
  <c r="S483"/>
  <c r="O483"/>
  <c r="K483"/>
  <c r="Z483"/>
  <c r="R483"/>
  <c r="J483"/>
  <c r="AB483"/>
  <c r="L483"/>
  <c r="H483"/>
  <c r="AE451"/>
  <c r="AE420"/>
  <c r="AE418"/>
  <c r="AE424"/>
  <c r="AE457"/>
  <c r="AE407"/>
  <c r="AE381"/>
  <c r="AE378"/>
  <c r="AA451"/>
  <c r="AA420"/>
  <c r="AA418"/>
  <c r="AA424"/>
  <c r="AA457"/>
  <c r="AA407"/>
  <c r="AA381"/>
  <c r="AA378"/>
  <c r="W451"/>
  <c r="W420"/>
  <c r="W418"/>
  <c r="W424"/>
  <c r="W457"/>
  <c r="W407"/>
  <c r="W381"/>
  <c r="W378"/>
  <c r="S451"/>
  <c r="S420"/>
  <c r="S418"/>
  <c r="S424"/>
  <c r="S457"/>
  <c r="S407"/>
  <c r="S381"/>
  <c r="S378"/>
  <c r="O451"/>
  <c r="O420"/>
  <c r="O418"/>
  <c r="O424"/>
  <c r="O457"/>
  <c r="O407"/>
  <c r="O381"/>
  <c r="O378"/>
  <c r="K420"/>
  <c r="K451"/>
  <c r="K418"/>
  <c r="K424"/>
  <c r="K457"/>
  <c r="K407"/>
  <c r="K381"/>
  <c r="K378"/>
  <c r="Z424"/>
  <c r="Z457"/>
  <c r="Z451"/>
  <c r="Z420"/>
  <c r="Z418"/>
  <c r="Z407"/>
  <c r="Z381"/>
  <c r="Z378"/>
  <c r="R424"/>
  <c r="R457"/>
  <c r="R451"/>
  <c r="R420"/>
  <c r="R418"/>
  <c r="R407"/>
  <c r="R381"/>
  <c r="R378"/>
  <c r="J424"/>
  <c r="J457"/>
  <c r="J420"/>
  <c r="J451"/>
  <c r="J418"/>
  <c r="J407"/>
  <c r="J381"/>
  <c r="J378"/>
  <c r="T424"/>
  <c r="T457"/>
  <c r="T451"/>
  <c r="T420"/>
  <c r="T418"/>
  <c r="T407"/>
  <c r="T381"/>
  <c r="T378"/>
  <c r="X424"/>
  <c r="X457"/>
  <c r="X451"/>
  <c r="X420"/>
  <c r="X418"/>
  <c r="X407"/>
  <c r="X381"/>
  <c r="X378"/>
  <c r="G399"/>
  <c r="G443"/>
  <c r="G453"/>
  <c r="AC451"/>
  <c r="AC420"/>
  <c r="AC418"/>
  <c r="AC424"/>
  <c r="AC457"/>
  <c r="AC407"/>
  <c r="AC381"/>
  <c r="AC378"/>
  <c r="Y451"/>
  <c r="Y420"/>
  <c r="Y418"/>
  <c r="Y424"/>
  <c r="Y457"/>
  <c r="Y407"/>
  <c r="Y381"/>
  <c r="Y378"/>
  <c r="U451"/>
  <c r="U420"/>
  <c r="U418"/>
  <c r="U424"/>
  <c r="U457"/>
  <c r="U407"/>
  <c r="U381"/>
  <c r="U378"/>
  <c r="Q451"/>
  <c r="Q420"/>
  <c r="Q418"/>
  <c r="Q424"/>
  <c r="Q457"/>
  <c r="Q407"/>
  <c r="Q381"/>
  <c r="Q378"/>
  <c r="M451"/>
  <c r="M420"/>
  <c r="M418"/>
  <c r="M424"/>
  <c r="M457"/>
  <c r="M407"/>
  <c r="M381"/>
  <c r="M378"/>
  <c r="I418"/>
  <c r="I424"/>
  <c r="I457"/>
  <c r="I451"/>
  <c r="I420"/>
  <c r="I407"/>
  <c r="I381"/>
  <c r="I378"/>
  <c r="AD424"/>
  <c r="AD457"/>
  <c r="AD451"/>
  <c r="AD420"/>
  <c r="AD418"/>
  <c r="AD407"/>
  <c r="AD381"/>
  <c r="AD378"/>
  <c r="V424"/>
  <c r="V457"/>
  <c r="V451"/>
  <c r="V420"/>
  <c r="V418"/>
  <c r="V407"/>
  <c r="V381"/>
  <c r="V378"/>
  <c r="N424"/>
  <c r="N457"/>
  <c r="N451"/>
  <c r="N420"/>
  <c r="N418"/>
  <c r="N407"/>
  <c r="N381"/>
  <c r="N378"/>
  <c r="AB424"/>
  <c r="AB457"/>
  <c r="AB451"/>
  <c r="AB420"/>
  <c r="AB418"/>
  <c r="AB407"/>
  <c r="AB381"/>
  <c r="AB378"/>
  <c r="L424"/>
  <c r="L457"/>
  <c r="L451"/>
  <c r="L420"/>
  <c r="L418"/>
  <c r="L407"/>
  <c r="L381"/>
  <c r="L378"/>
  <c r="P424"/>
  <c r="P461"/>
  <c r="P457"/>
  <c r="P451"/>
  <c r="P420"/>
  <c r="P418"/>
  <c r="P407"/>
  <c r="P381"/>
  <c r="P378"/>
  <c r="H424"/>
  <c r="H457"/>
  <c r="H451"/>
  <c r="H420"/>
  <c r="H418"/>
  <c r="H407"/>
  <c r="H381"/>
  <c r="H378"/>
  <c r="AE461"/>
  <c r="AA461"/>
  <c r="W461"/>
  <c r="S461"/>
  <c r="O461"/>
  <c r="K461"/>
  <c r="Z461"/>
  <c r="R461"/>
  <c r="J461"/>
  <c r="AB461"/>
  <c r="L461"/>
  <c r="X461"/>
  <c r="G55"/>
  <c r="G285"/>
  <c r="G441"/>
  <c r="G413"/>
  <c r="AC461"/>
  <c r="Y461"/>
  <c r="U461"/>
  <c r="Q461"/>
  <c r="M461"/>
  <c r="I461"/>
  <c r="AD461"/>
  <c r="V461"/>
  <c r="N461"/>
  <c r="T461"/>
  <c r="G473"/>
  <c r="AC345"/>
  <c r="AC343"/>
  <c r="AC337"/>
  <c r="AC310"/>
  <c r="AC306"/>
  <c r="AC304"/>
  <c r="AC293"/>
  <c r="AC267"/>
  <c r="Y345"/>
  <c r="Y343"/>
  <c r="Y337"/>
  <c r="Y310"/>
  <c r="Y306"/>
  <c r="Y304"/>
  <c r="Y293"/>
  <c r="Y267"/>
  <c r="U345"/>
  <c r="U343"/>
  <c r="U337"/>
  <c r="U310"/>
  <c r="U306"/>
  <c r="U304"/>
  <c r="U293"/>
  <c r="U267"/>
  <c r="Q345"/>
  <c r="Q343"/>
  <c r="Q337"/>
  <c r="Q310"/>
  <c r="Q306"/>
  <c r="Q304"/>
  <c r="Q293"/>
  <c r="Q267"/>
  <c r="M345"/>
  <c r="M343"/>
  <c r="M337"/>
  <c r="M310"/>
  <c r="M306"/>
  <c r="M304"/>
  <c r="M293"/>
  <c r="M267"/>
  <c r="I345"/>
  <c r="I343"/>
  <c r="I337"/>
  <c r="I310"/>
  <c r="I306"/>
  <c r="I304"/>
  <c r="I293"/>
  <c r="I267"/>
  <c r="AD345"/>
  <c r="AD343"/>
  <c r="AD337"/>
  <c r="AD310"/>
  <c r="AD306"/>
  <c r="AD304"/>
  <c r="AD293"/>
  <c r="AD267"/>
  <c r="V345"/>
  <c r="V343"/>
  <c r="V337"/>
  <c r="V310"/>
  <c r="V306"/>
  <c r="V304"/>
  <c r="V293"/>
  <c r="V267"/>
  <c r="N345"/>
  <c r="N343"/>
  <c r="N337"/>
  <c r="N310"/>
  <c r="N306"/>
  <c r="N304"/>
  <c r="N293"/>
  <c r="N267"/>
  <c r="T345"/>
  <c r="T343"/>
  <c r="T337"/>
  <c r="T310"/>
  <c r="T306"/>
  <c r="T304"/>
  <c r="T293"/>
  <c r="T267"/>
  <c r="H345"/>
  <c r="H343"/>
  <c r="H337"/>
  <c r="H310"/>
  <c r="H306"/>
  <c r="H304"/>
  <c r="H293"/>
  <c r="H267"/>
  <c r="P345"/>
  <c r="P343"/>
  <c r="P337"/>
  <c r="P310"/>
  <c r="P306"/>
  <c r="P304"/>
  <c r="P293"/>
  <c r="P267"/>
  <c r="AE345"/>
  <c r="AE343"/>
  <c r="AE337"/>
  <c r="AE310"/>
  <c r="AE306"/>
  <c r="AE304"/>
  <c r="AE293"/>
  <c r="AE267"/>
  <c r="AA345"/>
  <c r="AA343"/>
  <c r="AA337"/>
  <c r="AA310"/>
  <c r="AA306"/>
  <c r="AA304"/>
  <c r="AA293"/>
  <c r="AA267"/>
  <c r="W345"/>
  <c r="W343"/>
  <c r="W337"/>
  <c r="W310"/>
  <c r="W306"/>
  <c r="W304"/>
  <c r="W293"/>
  <c r="W267"/>
  <c r="S345"/>
  <c r="S343"/>
  <c r="S337"/>
  <c r="S310"/>
  <c r="S306"/>
  <c r="S304"/>
  <c r="S293"/>
  <c r="S267"/>
  <c r="O345"/>
  <c r="O343"/>
  <c r="O337"/>
  <c r="O310"/>
  <c r="O306"/>
  <c r="O304"/>
  <c r="O293"/>
  <c r="O267"/>
  <c r="K345"/>
  <c r="K343"/>
  <c r="K337"/>
  <c r="K310"/>
  <c r="K306"/>
  <c r="K304"/>
  <c r="K293"/>
  <c r="K267"/>
  <c r="Z345"/>
  <c r="Z343"/>
  <c r="Z337"/>
  <c r="Z310"/>
  <c r="Z306"/>
  <c r="Z304"/>
  <c r="Z293"/>
  <c r="Z267"/>
  <c r="R345"/>
  <c r="R343"/>
  <c r="R337"/>
  <c r="R310"/>
  <c r="R306"/>
  <c r="R304"/>
  <c r="R293"/>
  <c r="R267"/>
  <c r="J345"/>
  <c r="J343"/>
  <c r="J337"/>
  <c r="J310"/>
  <c r="J306"/>
  <c r="J304"/>
  <c r="J293"/>
  <c r="J267"/>
  <c r="AB345"/>
  <c r="AB347"/>
  <c r="AB349"/>
  <c r="AB343"/>
  <c r="AB337"/>
  <c r="AB310"/>
  <c r="AB306"/>
  <c r="AB304"/>
  <c r="AB293"/>
  <c r="AB267"/>
  <c r="L345"/>
  <c r="L347"/>
  <c r="L349"/>
  <c r="L343"/>
  <c r="L337"/>
  <c r="L310"/>
  <c r="L306"/>
  <c r="L304"/>
  <c r="L293"/>
  <c r="L267"/>
  <c r="X345"/>
  <c r="X343"/>
  <c r="X337"/>
  <c r="X310"/>
  <c r="X306"/>
  <c r="X304"/>
  <c r="X293"/>
  <c r="X267"/>
  <c r="AC233"/>
  <c r="AC235"/>
  <c r="AC347"/>
  <c r="AC349"/>
  <c r="Y233"/>
  <c r="Y235"/>
  <c r="Y347"/>
  <c r="Y349"/>
  <c r="U233"/>
  <c r="U235"/>
  <c r="U347"/>
  <c r="U349"/>
  <c r="Q233"/>
  <c r="Q235"/>
  <c r="Q347"/>
  <c r="Q349"/>
  <c r="M233"/>
  <c r="M235"/>
  <c r="M347"/>
  <c r="M349"/>
  <c r="I233"/>
  <c r="I235"/>
  <c r="I347"/>
  <c r="I349"/>
  <c r="AD233"/>
  <c r="AD235"/>
  <c r="AD347"/>
  <c r="AD349"/>
  <c r="V233"/>
  <c r="V235"/>
  <c r="V347"/>
  <c r="V349"/>
  <c r="N233"/>
  <c r="N235"/>
  <c r="N347"/>
  <c r="N349"/>
  <c r="AB233"/>
  <c r="AB235"/>
  <c r="L233"/>
  <c r="L235"/>
  <c r="G245"/>
  <c r="G327"/>
  <c r="AE233"/>
  <c r="AE235"/>
  <c r="AE347"/>
  <c r="AE349"/>
  <c r="AA233"/>
  <c r="AA235"/>
  <c r="AA347"/>
  <c r="AA349"/>
  <c r="W233"/>
  <c r="W235"/>
  <c r="W347"/>
  <c r="W349"/>
  <c r="S233"/>
  <c r="S235"/>
  <c r="S347"/>
  <c r="S349"/>
  <c r="O233"/>
  <c r="O235"/>
  <c r="O347"/>
  <c r="O349"/>
  <c r="K233"/>
  <c r="K235"/>
  <c r="K347"/>
  <c r="K349"/>
  <c r="Z233"/>
  <c r="Z235"/>
  <c r="Z347"/>
  <c r="Z349"/>
  <c r="R233"/>
  <c r="R235"/>
  <c r="R347"/>
  <c r="R349"/>
  <c r="J233"/>
  <c r="J235"/>
  <c r="J347"/>
  <c r="J349"/>
  <c r="T233"/>
  <c r="T235"/>
  <c r="T347"/>
  <c r="T349"/>
  <c r="P233"/>
  <c r="P235"/>
  <c r="P347"/>
  <c r="P349"/>
  <c r="X233"/>
  <c r="X235"/>
  <c r="X347"/>
  <c r="X349"/>
  <c r="G329"/>
  <c r="G359"/>
  <c r="G299"/>
  <c r="G215"/>
  <c r="G62"/>
  <c r="G67"/>
  <c r="AE369"/>
  <c r="AA369"/>
  <c r="W369"/>
  <c r="S369"/>
  <c r="O369"/>
  <c r="K369"/>
  <c r="Z369"/>
  <c r="R369"/>
  <c r="J369"/>
  <c r="T369"/>
  <c r="X369"/>
  <c r="AC369"/>
  <c r="Y369"/>
  <c r="U369"/>
  <c r="Q369"/>
  <c r="M369"/>
  <c r="I369"/>
  <c r="AD369"/>
  <c r="V369"/>
  <c r="N369"/>
  <c r="AB369"/>
  <c r="L369"/>
  <c r="P369"/>
  <c r="H369"/>
  <c r="G64"/>
  <c r="G57"/>
  <c r="G56"/>
  <c r="G66"/>
  <c r="G63"/>
  <c r="AC255"/>
  <c r="Y255"/>
  <c r="U255"/>
  <c r="Q255"/>
  <c r="M255"/>
  <c r="I255"/>
  <c r="AD255"/>
  <c r="V255"/>
  <c r="N255"/>
  <c r="T255"/>
  <c r="H255"/>
  <c r="P255"/>
  <c r="Z255"/>
  <c r="R255"/>
  <c r="J255"/>
  <c r="AE255"/>
  <c r="AA255"/>
  <c r="W255"/>
  <c r="S255"/>
  <c r="O255"/>
  <c r="K255"/>
  <c r="AB255"/>
  <c r="L255"/>
  <c r="X255"/>
  <c r="G70"/>
  <c r="G60"/>
  <c r="G71"/>
  <c r="G69"/>
  <c r="G68"/>
  <c r="G65"/>
  <c r="G61"/>
  <c r="G164"/>
  <c r="H127"/>
  <c r="G185"/>
  <c r="G213"/>
  <c r="G158"/>
  <c r="C115"/>
  <c r="G771" i="4"/>
  <c r="H779"/>
  <c r="G779"/>
  <c r="G885"/>
  <c r="H893"/>
  <c r="G893"/>
  <c r="G543"/>
  <c r="H551"/>
  <c r="G551"/>
  <c r="G999"/>
  <c r="H1007"/>
  <c r="G1007"/>
  <c r="G657"/>
  <c r="H665"/>
  <c r="G665"/>
  <c r="G315"/>
  <c r="H323"/>
  <c r="G323"/>
  <c r="G429"/>
  <c r="H437"/>
  <c r="G437"/>
  <c r="G1113"/>
  <c r="H1121"/>
  <c r="G1121"/>
  <c r="G201"/>
  <c r="G219"/>
  <c r="G220"/>
  <c r="H209"/>
  <c r="G209"/>
  <c r="G127" i="2"/>
  <c r="H196"/>
  <c r="H192"/>
  <c r="H190"/>
  <c r="H231"/>
  <c r="H233"/>
  <c r="H237"/>
  <c r="H238"/>
  <c r="H239"/>
  <c r="H229"/>
  <c r="H223"/>
  <c r="H177"/>
  <c r="G177"/>
  <c r="H146"/>
  <c r="H143"/>
  <c r="I237"/>
  <c r="AA48" i="1"/>
  <c r="AA49"/>
  <c r="G483" i="2"/>
  <c r="G532"/>
  <c r="G538"/>
  <c r="G418"/>
  <c r="O115" i="4"/>
  <c r="G492" i="2"/>
  <c r="G521"/>
  <c r="G565"/>
  <c r="G568"/>
  <c r="G495"/>
  <c r="G534"/>
  <c r="L579"/>
  <c r="L580"/>
  <c r="L581"/>
  <c r="L577"/>
  <c r="Z693"/>
  <c r="Z694"/>
  <c r="Z695"/>
  <c r="Z691"/>
  <c r="J921"/>
  <c r="J922"/>
  <c r="J923"/>
  <c r="J919"/>
  <c r="R579"/>
  <c r="R580"/>
  <c r="R581"/>
  <c r="R577"/>
  <c r="N807"/>
  <c r="N808"/>
  <c r="N809"/>
  <c r="N805"/>
  <c r="V921"/>
  <c r="V922"/>
  <c r="V923"/>
  <c r="V919"/>
  <c r="N1035"/>
  <c r="N1036"/>
  <c r="N1037"/>
  <c r="N1033"/>
  <c r="O1147"/>
  <c r="O1149"/>
  <c r="O1150"/>
  <c r="O1151"/>
  <c r="O579"/>
  <c r="O580"/>
  <c r="O581"/>
  <c r="O577"/>
  <c r="W579"/>
  <c r="W580"/>
  <c r="W581"/>
  <c r="W577"/>
  <c r="AE579"/>
  <c r="AE580"/>
  <c r="AE581"/>
  <c r="AE577"/>
  <c r="H803"/>
  <c r="G801"/>
  <c r="X807"/>
  <c r="X808"/>
  <c r="X809"/>
  <c r="X805"/>
  <c r="G837"/>
  <c r="G990"/>
  <c r="H1031"/>
  <c r="G1029"/>
  <c r="AA1033"/>
  <c r="AA1035"/>
  <c r="AA1036"/>
  <c r="AA1037"/>
  <c r="O693"/>
  <c r="O694"/>
  <c r="O695"/>
  <c r="O691"/>
  <c r="W693"/>
  <c r="W694"/>
  <c r="W695"/>
  <c r="W691"/>
  <c r="AE693"/>
  <c r="AE694"/>
  <c r="AE695"/>
  <c r="AE691"/>
  <c r="O807"/>
  <c r="O808"/>
  <c r="O809"/>
  <c r="O805"/>
  <c r="W807"/>
  <c r="W808"/>
  <c r="W809"/>
  <c r="W805"/>
  <c r="AE807"/>
  <c r="AE808"/>
  <c r="AE809"/>
  <c r="AE805"/>
  <c r="O921"/>
  <c r="O922"/>
  <c r="O923"/>
  <c r="O919"/>
  <c r="W921"/>
  <c r="W922"/>
  <c r="W923"/>
  <c r="W919"/>
  <c r="AE921"/>
  <c r="AE922"/>
  <c r="AE923"/>
  <c r="AE919"/>
  <c r="O1033"/>
  <c r="O1035"/>
  <c r="O1036"/>
  <c r="O1037"/>
  <c r="Y1033"/>
  <c r="Y1035"/>
  <c r="Y1036"/>
  <c r="Y1037"/>
  <c r="Q1147"/>
  <c r="Q1149"/>
  <c r="Q1150"/>
  <c r="Q1151"/>
  <c r="X1035"/>
  <c r="X1036"/>
  <c r="X1037"/>
  <c r="X1033"/>
  <c r="G1065"/>
  <c r="G1104"/>
  <c r="L1149"/>
  <c r="L1150"/>
  <c r="L1151"/>
  <c r="L1147"/>
  <c r="T1149"/>
  <c r="T1150"/>
  <c r="T1151"/>
  <c r="T1147"/>
  <c r="AB1149"/>
  <c r="AB1150"/>
  <c r="AB1151"/>
  <c r="AB1147"/>
  <c r="V1149"/>
  <c r="V1150"/>
  <c r="V1151"/>
  <c r="V1147"/>
  <c r="P579"/>
  <c r="P580"/>
  <c r="P581"/>
  <c r="P577"/>
  <c r="G609"/>
  <c r="G648"/>
  <c r="X579"/>
  <c r="X580"/>
  <c r="X581"/>
  <c r="X577"/>
  <c r="T579"/>
  <c r="T580"/>
  <c r="T581"/>
  <c r="T577"/>
  <c r="L693"/>
  <c r="L694"/>
  <c r="L695"/>
  <c r="L691"/>
  <c r="R807"/>
  <c r="R808"/>
  <c r="R809"/>
  <c r="R805"/>
  <c r="W1147"/>
  <c r="W1149"/>
  <c r="W1150"/>
  <c r="W1151"/>
  <c r="V579"/>
  <c r="V580"/>
  <c r="V581"/>
  <c r="V577"/>
  <c r="V807"/>
  <c r="V808"/>
  <c r="V809"/>
  <c r="V805"/>
  <c r="N921"/>
  <c r="N922"/>
  <c r="N923"/>
  <c r="N919"/>
  <c r="AD921"/>
  <c r="AD922"/>
  <c r="AD923"/>
  <c r="AD919"/>
  <c r="AE1147"/>
  <c r="AE1149"/>
  <c r="AE1150"/>
  <c r="AE1151"/>
  <c r="M579"/>
  <c r="M580"/>
  <c r="M581"/>
  <c r="M577"/>
  <c r="U579"/>
  <c r="U580"/>
  <c r="U581"/>
  <c r="U577"/>
  <c r="AC579"/>
  <c r="AC580"/>
  <c r="AC581"/>
  <c r="AC577"/>
  <c r="M693"/>
  <c r="M694"/>
  <c r="M695"/>
  <c r="M691"/>
  <c r="AB693"/>
  <c r="AB694"/>
  <c r="AB695"/>
  <c r="AB691"/>
  <c r="T807"/>
  <c r="T808"/>
  <c r="T809"/>
  <c r="T805"/>
  <c r="AB921"/>
  <c r="AB922"/>
  <c r="AB923"/>
  <c r="AB919"/>
  <c r="T1035"/>
  <c r="T1036"/>
  <c r="T1037"/>
  <c r="T1033"/>
  <c r="AA1147"/>
  <c r="AA1149"/>
  <c r="AA1150"/>
  <c r="AA1151"/>
  <c r="U693"/>
  <c r="U694"/>
  <c r="U695"/>
  <c r="U691"/>
  <c r="U697"/>
  <c r="AC693"/>
  <c r="AC694"/>
  <c r="AC695"/>
  <c r="AC691"/>
  <c r="AC697"/>
  <c r="M807"/>
  <c r="M808"/>
  <c r="M809"/>
  <c r="M805"/>
  <c r="M811"/>
  <c r="U807"/>
  <c r="U808"/>
  <c r="U809"/>
  <c r="U805"/>
  <c r="U811"/>
  <c r="AC807"/>
  <c r="AC808"/>
  <c r="AC809"/>
  <c r="AC805"/>
  <c r="AC811"/>
  <c r="I921"/>
  <c r="I922"/>
  <c r="I923"/>
  <c r="I919"/>
  <c r="I925"/>
  <c r="M921"/>
  <c r="M922"/>
  <c r="M923"/>
  <c r="M919"/>
  <c r="M925"/>
  <c r="U921"/>
  <c r="U922"/>
  <c r="U923"/>
  <c r="U919"/>
  <c r="U925"/>
  <c r="AC921"/>
  <c r="AC922"/>
  <c r="AC923"/>
  <c r="AC919"/>
  <c r="AC925"/>
  <c r="M1033"/>
  <c r="M1035"/>
  <c r="M1036"/>
  <c r="M1037"/>
  <c r="U1033"/>
  <c r="U1035"/>
  <c r="U1036"/>
  <c r="U1037"/>
  <c r="M1147"/>
  <c r="M1149"/>
  <c r="M1150"/>
  <c r="M1151"/>
  <c r="AC1147"/>
  <c r="AC1149"/>
  <c r="AC1150"/>
  <c r="AC1151"/>
  <c r="V1035"/>
  <c r="V1036"/>
  <c r="V1037"/>
  <c r="V1033"/>
  <c r="V1039"/>
  <c r="AD1035"/>
  <c r="AD1036"/>
  <c r="AD1037"/>
  <c r="AD1033"/>
  <c r="AD1039"/>
  <c r="R1149"/>
  <c r="R1150"/>
  <c r="R1151"/>
  <c r="R1147"/>
  <c r="R1153"/>
  <c r="G571"/>
  <c r="G749"/>
  <c r="G760"/>
  <c r="G766"/>
  <c r="G793"/>
  <c r="G796"/>
  <c r="G720"/>
  <c r="G913"/>
  <c r="G880"/>
  <c r="G948"/>
  <c r="G977"/>
  <c r="G1021"/>
  <c r="G1024"/>
  <c r="G1141"/>
  <c r="G1053"/>
  <c r="G597"/>
  <c r="G685"/>
  <c r="AD1149"/>
  <c r="AD1150"/>
  <c r="AD1151"/>
  <c r="AD1147"/>
  <c r="J807"/>
  <c r="J808"/>
  <c r="J809"/>
  <c r="J805"/>
  <c r="R921"/>
  <c r="R922"/>
  <c r="R923"/>
  <c r="R919"/>
  <c r="H575"/>
  <c r="G573"/>
  <c r="R693"/>
  <c r="R694"/>
  <c r="R695"/>
  <c r="R691"/>
  <c r="J1035"/>
  <c r="J1036"/>
  <c r="J1037"/>
  <c r="J1033"/>
  <c r="AB579"/>
  <c r="AB580"/>
  <c r="AB581"/>
  <c r="AB577"/>
  <c r="R1035"/>
  <c r="R1036"/>
  <c r="R1037"/>
  <c r="R1033"/>
  <c r="J579"/>
  <c r="J580"/>
  <c r="J581"/>
  <c r="J577"/>
  <c r="Z579"/>
  <c r="Z580"/>
  <c r="Z581"/>
  <c r="Z577"/>
  <c r="J693"/>
  <c r="J694"/>
  <c r="J695"/>
  <c r="J691"/>
  <c r="V693"/>
  <c r="V694"/>
  <c r="V695"/>
  <c r="V691"/>
  <c r="AD807"/>
  <c r="AD808"/>
  <c r="AD809"/>
  <c r="AD805"/>
  <c r="K579"/>
  <c r="K580"/>
  <c r="K581"/>
  <c r="K577"/>
  <c r="S579"/>
  <c r="S580"/>
  <c r="S581"/>
  <c r="S577"/>
  <c r="AA579"/>
  <c r="AA580"/>
  <c r="AA581"/>
  <c r="AA577"/>
  <c r="K693"/>
  <c r="K694"/>
  <c r="K695"/>
  <c r="K691"/>
  <c r="P693"/>
  <c r="P694"/>
  <c r="P695"/>
  <c r="P691"/>
  <c r="X693"/>
  <c r="X694"/>
  <c r="X695"/>
  <c r="X691"/>
  <c r="G723"/>
  <c r="G762"/>
  <c r="P807"/>
  <c r="P808"/>
  <c r="P809"/>
  <c r="P805"/>
  <c r="H917"/>
  <c r="G915"/>
  <c r="G876"/>
  <c r="P921"/>
  <c r="P922"/>
  <c r="P923"/>
  <c r="P919"/>
  <c r="P925"/>
  <c r="X921"/>
  <c r="X922"/>
  <c r="X923"/>
  <c r="X919"/>
  <c r="X925"/>
  <c r="G951"/>
  <c r="P1035"/>
  <c r="P1036"/>
  <c r="P1037"/>
  <c r="P1033"/>
  <c r="S1147"/>
  <c r="S1149"/>
  <c r="S1150"/>
  <c r="S1151"/>
  <c r="S693"/>
  <c r="S694"/>
  <c r="S695"/>
  <c r="S691"/>
  <c r="AA693"/>
  <c r="AA694"/>
  <c r="AA695"/>
  <c r="AA691"/>
  <c r="K807"/>
  <c r="K808"/>
  <c r="K809"/>
  <c r="K805"/>
  <c r="S807"/>
  <c r="S808"/>
  <c r="S809"/>
  <c r="S805"/>
  <c r="AA807"/>
  <c r="AA808"/>
  <c r="AA809"/>
  <c r="AA805"/>
  <c r="K921"/>
  <c r="K922"/>
  <c r="K923"/>
  <c r="K919"/>
  <c r="S921"/>
  <c r="S922"/>
  <c r="S923"/>
  <c r="S919"/>
  <c r="AA921"/>
  <c r="AA922"/>
  <c r="AA923"/>
  <c r="AA919"/>
  <c r="K1033"/>
  <c r="K1035"/>
  <c r="K1036"/>
  <c r="K1037"/>
  <c r="S1033"/>
  <c r="S1035"/>
  <c r="S1036"/>
  <c r="S1037"/>
  <c r="I1147"/>
  <c r="I1149"/>
  <c r="I1150"/>
  <c r="I1151"/>
  <c r="Y1147"/>
  <c r="Y1149"/>
  <c r="Y1150"/>
  <c r="Y1151"/>
  <c r="AB1035"/>
  <c r="AB1036"/>
  <c r="AB1037"/>
  <c r="AB1033"/>
  <c r="H1145"/>
  <c r="G1143"/>
  <c r="P1149"/>
  <c r="P1150"/>
  <c r="P1151"/>
  <c r="P1147"/>
  <c r="X1149"/>
  <c r="X1150"/>
  <c r="X1151"/>
  <c r="X1147"/>
  <c r="N1149"/>
  <c r="N1150"/>
  <c r="N1151"/>
  <c r="N1147"/>
  <c r="AE1033"/>
  <c r="AE1035"/>
  <c r="AE1036"/>
  <c r="AE1037"/>
  <c r="H689"/>
  <c r="G687"/>
  <c r="Z807"/>
  <c r="Z808"/>
  <c r="Z809"/>
  <c r="Z805"/>
  <c r="Z921"/>
  <c r="Z922"/>
  <c r="Z923"/>
  <c r="Z919"/>
  <c r="N579"/>
  <c r="N580"/>
  <c r="N581"/>
  <c r="N577"/>
  <c r="AD579"/>
  <c r="AD580"/>
  <c r="AD581"/>
  <c r="AD577"/>
  <c r="N693"/>
  <c r="N694"/>
  <c r="N695"/>
  <c r="N691"/>
  <c r="AD693"/>
  <c r="AD694"/>
  <c r="AD695"/>
  <c r="AD691"/>
  <c r="W1033"/>
  <c r="W1035"/>
  <c r="W1036"/>
  <c r="W1037"/>
  <c r="I579"/>
  <c r="I580"/>
  <c r="I581"/>
  <c r="I577"/>
  <c r="Q579"/>
  <c r="Q580"/>
  <c r="Q581"/>
  <c r="Q577"/>
  <c r="Y579"/>
  <c r="Y580"/>
  <c r="Y581"/>
  <c r="Y577"/>
  <c r="I693"/>
  <c r="I694"/>
  <c r="I695"/>
  <c r="I691"/>
  <c r="T693"/>
  <c r="T694"/>
  <c r="T695"/>
  <c r="T691"/>
  <c r="L807"/>
  <c r="L808"/>
  <c r="L809"/>
  <c r="L805"/>
  <c r="AB807"/>
  <c r="AB808"/>
  <c r="AB809"/>
  <c r="AB805"/>
  <c r="L921"/>
  <c r="L922"/>
  <c r="L923"/>
  <c r="L919"/>
  <c r="T921"/>
  <c r="T922"/>
  <c r="T923"/>
  <c r="T919"/>
  <c r="L1035"/>
  <c r="L1036"/>
  <c r="L1037"/>
  <c r="L1033"/>
  <c r="K1147"/>
  <c r="K1149"/>
  <c r="K1150"/>
  <c r="K1151"/>
  <c r="Q693"/>
  <c r="Q694"/>
  <c r="Q695"/>
  <c r="Q691"/>
  <c r="Y693"/>
  <c r="Y694"/>
  <c r="Y695"/>
  <c r="Y691"/>
  <c r="I807"/>
  <c r="I808"/>
  <c r="I809"/>
  <c r="I805"/>
  <c r="Q807"/>
  <c r="Q808"/>
  <c r="Q809"/>
  <c r="Q805"/>
  <c r="Y807"/>
  <c r="Y808"/>
  <c r="Y809"/>
  <c r="Y805"/>
  <c r="Q921"/>
  <c r="Q922"/>
  <c r="Q923"/>
  <c r="Q919"/>
  <c r="Y921"/>
  <c r="Y922"/>
  <c r="Y923"/>
  <c r="Y919"/>
  <c r="I1033"/>
  <c r="I1035"/>
  <c r="I1036"/>
  <c r="I1037"/>
  <c r="Q1033"/>
  <c r="Q1035"/>
  <c r="Q1036"/>
  <c r="Q1037"/>
  <c r="AC1033"/>
  <c r="AC1035"/>
  <c r="AC1036"/>
  <c r="AC1037"/>
  <c r="U1147"/>
  <c r="U1149"/>
  <c r="U1150"/>
  <c r="U1151"/>
  <c r="Z1035"/>
  <c r="Z1036"/>
  <c r="Z1037"/>
  <c r="Z1033"/>
  <c r="J1149"/>
  <c r="J1150"/>
  <c r="J1151"/>
  <c r="J1147"/>
  <c r="Z1149"/>
  <c r="Z1150"/>
  <c r="Z1151"/>
  <c r="Z1147"/>
  <c r="G799"/>
  <c r="G711"/>
  <c r="G825"/>
  <c r="G834"/>
  <c r="G863"/>
  <c r="G907"/>
  <c r="G910"/>
  <c r="G874"/>
  <c r="G988"/>
  <c r="G994"/>
  <c r="G939"/>
  <c r="G1027"/>
  <c r="G1135"/>
  <c r="G1138"/>
  <c r="G1062"/>
  <c r="G1091"/>
  <c r="G1102"/>
  <c r="G1108"/>
  <c r="G606"/>
  <c r="G635"/>
  <c r="G646"/>
  <c r="G652"/>
  <c r="G679"/>
  <c r="G682"/>
  <c r="G457"/>
  <c r="G231"/>
  <c r="H235"/>
  <c r="H241"/>
  <c r="P465"/>
  <c r="P466"/>
  <c r="P467"/>
  <c r="P463"/>
  <c r="N465"/>
  <c r="N466"/>
  <c r="N467"/>
  <c r="N463"/>
  <c r="AD465"/>
  <c r="AD466"/>
  <c r="AD467"/>
  <c r="AD463"/>
  <c r="M465"/>
  <c r="M466"/>
  <c r="M467"/>
  <c r="M463"/>
  <c r="U465"/>
  <c r="U466"/>
  <c r="U467"/>
  <c r="U463"/>
  <c r="AC465"/>
  <c r="AC466"/>
  <c r="AC467"/>
  <c r="AC463"/>
  <c r="L465"/>
  <c r="L466"/>
  <c r="L467"/>
  <c r="L463"/>
  <c r="J465"/>
  <c r="J466"/>
  <c r="J467"/>
  <c r="J463"/>
  <c r="Z465"/>
  <c r="Z466"/>
  <c r="Z467"/>
  <c r="Z463"/>
  <c r="O465"/>
  <c r="O466"/>
  <c r="O467"/>
  <c r="O463"/>
  <c r="W465"/>
  <c r="W466"/>
  <c r="W467"/>
  <c r="W463"/>
  <c r="AE465"/>
  <c r="AE466"/>
  <c r="AE467"/>
  <c r="AE463"/>
  <c r="T465"/>
  <c r="T466"/>
  <c r="T467"/>
  <c r="T463"/>
  <c r="V465"/>
  <c r="V466"/>
  <c r="V467"/>
  <c r="V463"/>
  <c r="I465"/>
  <c r="I466"/>
  <c r="I467"/>
  <c r="I463"/>
  <c r="Q465"/>
  <c r="Q466"/>
  <c r="Q467"/>
  <c r="Q463"/>
  <c r="Y465"/>
  <c r="Y466"/>
  <c r="Y467"/>
  <c r="Y463"/>
  <c r="X465"/>
  <c r="X466"/>
  <c r="X467"/>
  <c r="X463"/>
  <c r="AB465"/>
  <c r="AB466"/>
  <c r="AB467"/>
  <c r="AB463"/>
  <c r="R465"/>
  <c r="R466"/>
  <c r="R467"/>
  <c r="R463"/>
  <c r="K465"/>
  <c r="K466"/>
  <c r="K467"/>
  <c r="K463"/>
  <c r="S465"/>
  <c r="S466"/>
  <c r="S467"/>
  <c r="S463"/>
  <c r="AA465"/>
  <c r="AA466"/>
  <c r="AA467"/>
  <c r="AA463"/>
  <c r="G420"/>
  <c r="H461"/>
  <c r="G459"/>
  <c r="G378"/>
  <c r="G407"/>
  <c r="G424"/>
  <c r="G451"/>
  <c r="G454"/>
  <c r="G381"/>
  <c r="G267"/>
  <c r="S351"/>
  <c r="S352"/>
  <c r="S353"/>
  <c r="W351"/>
  <c r="W352"/>
  <c r="W353"/>
  <c r="AA351"/>
  <c r="AA352"/>
  <c r="AA353"/>
  <c r="AE351"/>
  <c r="AE352"/>
  <c r="AE353"/>
  <c r="Q351"/>
  <c r="Q352"/>
  <c r="Q353"/>
  <c r="U351"/>
  <c r="U352"/>
  <c r="U353"/>
  <c r="Y351"/>
  <c r="Y352"/>
  <c r="Y353"/>
  <c r="AC351"/>
  <c r="AC352"/>
  <c r="AC353"/>
  <c r="G293"/>
  <c r="G304"/>
  <c r="G310"/>
  <c r="G337"/>
  <c r="G340"/>
  <c r="X351"/>
  <c r="X352"/>
  <c r="G306"/>
  <c r="H347"/>
  <c r="H349"/>
  <c r="G345"/>
  <c r="P351"/>
  <c r="P352"/>
  <c r="P353"/>
  <c r="T351"/>
  <c r="T352"/>
  <c r="T353"/>
  <c r="J351"/>
  <c r="J352"/>
  <c r="J353"/>
  <c r="R351"/>
  <c r="R352"/>
  <c r="R353"/>
  <c r="Z351"/>
  <c r="Z352"/>
  <c r="Z353"/>
  <c r="K351"/>
  <c r="K352"/>
  <c r="K353"/>
  <c r="O351"/>
  <c r="O352"/>
  <c r="O353"/>
  <c r="L351"/>
  <c r="L352"/>
  <c r="L353"/>
  <c r="AB351"/>
  <c r="AB352"/>
  <c r="AB353"/>
  <c r="N351"/>
  <c r="N352"/>
  <c r="N353"/>
  <c r="V351"/>
  <c r="V352"/>
  <c r="V353"/>
  <c r="AD351"/>
  <c r="AD352"/>
  <c r="AD353"/>
  <c r="I351"/>
  <c r="I352"/>
  <c r="I353"/>
  <c r="M351"/>
  <c r="M352"/>
  <c r="M353"/>
  <c r="G264"/>
  <c r="G343"/>
  <c r="G192"/>
  <c r="G369"/>
  <c r="G146"/>
  <c r="G190"/>
  <c r="Q111"/>
  <c r="Q114"/>
  <c r="Q112"/>
  <c r="Q110"/>
  <c r="G143"/>
  <c r="Q109"/>
  <c r="Q113"/>
  <c r="G255"/>
  <c r="G235"/>
  <c r="G229"/>
  <c r="G223"/>
  <c r="G226"/>
  <c r="G196"/>
  <c r="G1512" i="1"/>
  <c r="T1039" i="2"/>
  <c r="AB925"/>
  <c r="T811"/>
  <c r="AB697"/>
  <c r="M697"/>
  <c r="AC583"/>
  <c r="U583"/>
  <c r="M583"/>
  <c r="AD925"/>
  <c r="N925"/>
  <c r="V811"/>
  <c r="V583"/>
  <c r="R811"/>
  <c r="L697"/>
  <c r="T583"/>
  <c r="X583"/>
  <c r="H106"/>
  <c r="H106" i="4"/>
  <c r="P106"/>
  <c r="G1131"/>
  <c r="G1132"/>
  <c r="G447"/>
  <c r="G448"/>
  <c r="G333"/>
  <c r="G334"/>
  <c r="G675"/>
  <c r="G676"/>
  <c r="G1017"/>
  <c r="G1018"/>
  <c r="G561"/>
  <c r="G562"/>
  <c r="G903"/>
  <c r="G904"/>
  <c r="G789"/>
  <c r="G790"/>
  <c r="P583" i="2"/>
  <c r="V1153"/>
  <c r="AB1153"/>
  <c r="T1153"/>
  <c r="L1153"/>
  <c r="X1039"/>
  <c r="AE925"/>
  <c r="W925"/>
  <c r="O925"/>
  <c r="AE811"/>
  <c r="W811"/>
  <c r="O811"/>
  <c r="Z1153"/>
  <c r="J1153"/>
  <c r="Z1039"/>
  <c r="Y925"/>
  <c r="Q925"/>
  <c r="Y811"/>
  <c r="Q811"/>
  <c r="I811"/>
  <c r="Y697"/>
  <c r="Q697"/>
  <c r="L1039"/>
  <c r="T925"/>
  <c r="L925"/>
  <c r="AB811"/>
  <c r="L811"/>
  <c r="T697"/>
  <c r="I697"/>
  <c r="Y583"/>
  <c r="Q583"/>
  <c r="I583"/>
  <c r="AD697"/>
  <c r="N697"/>
  <c r="AD583"/>
  <c r="N583"/>
  <c r="Z925"/>
  <c r="Z811"/>
  <c r="N1153"/>
  <c r="X1153"/>
  <c r="P1153"/>
  <c r="AB1039"/>
  <c r="AA925"/>
  <c r="S925"/>
  <c r="K925"/>
  <c r="AA811"/>
  <c r="S811"/>
  <c r="K811"/>
  <c r="AA697"/>
  <c r="S697"/>
  <c r="P1039"/>
  <c r="P811"/>
  <c r="X697"/>
  <c r="P697"/>
  <c r="K697"/>
  <c r="AA583"/>
  <c r="S583"/>
  <c r="K583"/>
  <c r="AD811"/>
  <c r="V697"/>
  <c r="J697"/>
  <c r="Z583"/>
  <c r="J583"/>
  <c r="R1039"/>
  <c r="AB583"/>
  <c r="J1039"/>
  <c r="R697"/>
  <c r="R925"/>
  <c r="J811"/>
  <c r="AD1153"/>
  <c r="AA1039"/>
  <c r="O1153"/>
  <c r="H693"/>
  <c r="H691"/>
  <c r="G691"/>
  <c r="G689"/>
  <c r="H1149"/>
  <c r="H1147"/>
  <c r="G1147"/>
  <c r="G1145"/>
  <c r="H921"/>
  <c r="H919"/>
  <c r="G919"/>
  <c r="G917"/>
  <c r="H579"/>
  <c r="H577"/>
  <c r="G577"/>
  <c r="G575"/>
  <c r="H1035"/>
  <c r="H1033"/>
  <c r="G1033"/>
  <c r="G1031"/>
  <c r="H807"/>
  <c r="H805"/>
  <c r="G805"/>
  <c r="G803"/>
  <c r="AE697"/>
  <c r="W697"/>
  <c r="O697"/>
  <c r="X811"/>
  <c r="AE583"/>
  <c r="W583"/>
  <c r="O583"/>
  <c r="N1039"/>
  <c r="V925"/>
  <c r="N811"/>
  <c r="R583"/>
  <c r="J925"/>
  <c r="Z697"/>
  <c r="L583"/>
  <c r="X353"/>
  <c r="X355"/>
  <c r="AA469"/>
  <c r="S469"/>
  <c r="Y469"/>
  <c r="AE469"/>
  <c r="O469"/>
  <c r="Z469"/>
  <c r="J469"/>
  <c r="L469"/>
  <c r="M469"/>
  <c r="AD469"/>
  <c r="N469"/>
  <c r="U1153"/>
  <c r="AC1039"/>
  <c r="Q1039"/>
  <c r="I1039"/>
  <c r="K1153"/>
  <c r="W1039"/>
  <c r="AE1039"/>
  <c r="Y1153"/>
  <c r="I1153"/>
  <c r="S1039"/>
  <c r="K1039"/>
  <c r="S1153"/>
  <c r="AC1153"/>
  <c r="M1153"/>
  <c r="U1039"/>
  <c r="M1039"/>
  <c r="AA1153"/>
  <c r="AE1153"/>
  <c r="W1153"/>
  <c r="Q1153"/>
  <c r="Y1039"/>
  <c r="O1039"/>
  <c r="H465"/>
  <c r="H463"/>
  <c r="G463"/>
  <c r="G461"/>
  <c r="W469"/>
  <c r="K469"/>
  <c r="R469"/>
  <c r="AB469"/>
  <c r="X469"/>
  <c r="AC469"/>
  <c r="U469"/>
  <c r="Q469"/>
  <c r="I469"/>
  <c r="V469"/>
  <c r="T469"/>
  <c r="P469"/>
  <c r="L355"/>
  <c r="R355"/>
  <c r="AD355"/>
  <c r="AC355"/>
  <c r="AB355"/>
  <c r="Z355"/>
  <c r="V355"/>
  <c r="T355"/>
  <c r="N355"/>
  <c r="J355"/>
  <c r="P355"/>
  <c r="Y355"/>
  <c r="U355"/>
  <c r="Q355"/>
  <c r="AE355"/>
  <c r="AA355"/>
  <c r="W355"/>
  <c r="S355"/>
  <c r="M355"/>
  <c r="I355"/>
  <c r="O355"/>
  <c r="K355"/>
  <c r="G349"/>
  <c r="G347"/>
  <c r="H351"/>
  <c r="Q108"/>
  <c r="G249"/>
  <c r="G250"/>
  <c r="I106" i="4"/>
  <c r="N106"/>
  <c r="G20" i="2"/>
  <c r="H112" i="4"/>
  <c r="P112"/>
  <c r="H112" i="2"/>
  <c r="H113" i="4"/>
  <c r="P113"/>
  <c r="H113" i="2"/>
  <c r="H107" i="4"/>
  <c r="P107"/>
  <c r="H107" i="2"/>
  <c r="H114" i="4"/>
  <c r="P114"/>
  <c r="H114" i="2"/>
  <c r="H111" i="4"/>
  <c r="P111"/>
  <c r="H111" i="2"/>
  <c r="H109" i="4"/>
  <c r="P109"/>
  <c r="H109" i="2"/>
  <c r="H110" i="4"/>
  <c r="P110"/>
  <c r="H110" i="2"/>
  <c r="H108" i="4"/>
  <c r="P108"/>
  <c r="H108" i="2"/>
  <c r="P115" i="4"/>
  <c r="V101"/>
  <c r="Z101"/>
  <c r="H1036" i="2"/>
  <c r="G1035"/>
  <c r="G921"/>
  <c r="H922"/>
  <c r="G693"/>
  <c r="H694"/>
  <c r="G807"/>
  <c r="H808"/>
  <c r="H580"/>
  <c r="G579"/>
  <c r="G1149"/>
  <c r="H1150"/>
  <c r="G465"/>
  <c r="H466"/>
  <c r="H467"/>
  <c r="H352"/>
  <c r="H353"/>
  <c r="G351"/>
  <c r="Q106"/>
  <c r="I106"/>
  <c r="N106"/>
  <c r="H581"/>
  <c r="G580"/>
  <c r="H695"/>
  <c r="G694"/>
  <c r="H923"/>
  <c r="G922"/>
  <c r="H1151"/>
  <c r="G1150"/>
  <c r="H809"/>
  <c r="G808"/>
  <c r="H1037"/>
  <c r="G1036"/>
  <c r="G466"/>
  <c r="G352"/>
  <c r="H20"/>
  <c r="H1039"/>
  <c r="G1039"/>
  <c r="G1037"/>
  <c r="G809"/>
  <c r="H811"/>
  <c r="G811"/>
  <c r="H1153"/>
  <c r="G1153"/>
  <c r="G1151"/>
  <c r="H925"/>
  <c r="G925"/>
  <c r="G923"/>
  <c r="G695"/>
  <c r="H697"/>
  <c r="G697"/>
  <c r="G581"/>
  <c r="H583"/>
  <c r="G583"/>
  <c r="H469"/>
  <c r="G469"/>
  <c r="G467"/>
  <c r="H355"/>
  <c r="G355"/>
  <c r="G353"/>
  <c r="J20"/>
  <c r="N20"/>
  <c r="P20"/>
  <c r="O20"/>
  <c r="L20"/>
  <c r="K20"/>
  <c r="Q20"/>
  <c r="M20"/>
  <c r="I20"/>
  <c r="AC179"/>
  <c r="AC129"/>
  <c r="Y179"/>
  <c r="Y129"/>
  <c r="U179"/>
  <c r="U129"/>
  <c r="Q179"/>
  <c r="Q129"/>
  <c r="M201"/>
  <c r="M129"/>
  <c r="I179"/>
  <c r="I201"/>
  <c r="I129"/>
  <c r="AD201"/>
  <c r="V201"/>
  <c r="N129"/>
  <c r="N201"/>
  <c r="AB201"/>
  <c r="L129"/>
  <c r="L201"/>
  <c r="AE201"/>
  <c r="AE129"/>
  <c r="AA179"/>
  <c r="AA129"/>
  <c r="W179"/>
  <c r="W129"/>
  <c r="S179"/>
  <c r="S129"/>
  <c r="O201"/>
  <c r="O129"/>
  <c r="K179"/>
  <c r="K201"/>
  <c r="K129"/>
  <c r="Z201"/>
  <c r="R201"/>
  <c r="T201"/>
  <c r="P129"/>
  <c r="P201"/>
  <c r="X201"/>
  <c r="AC201"/>
  <c r="Y201"/>
  <c r="U201"/>
  <c r="Q201"/>
  <c r="M179"/>
  <c r="AD129"/>
  <c r="AD179"/>
  <c r="V129"/>
  <c r="V179"/>
  <c r="N179"/>
  <c r="AB129"/>
  <c r="AB179"/>
  <c r="L179"/>
  <c r="AE179"/>
  <c r="AA201"/>
  <c r="W201"/>
  <c r="S201"/>
  <c r="O179"/>
  <c r="Z129"/>
  <c r="Z179"/>
  <c r="R129"/>
  <c r="R179"/>
  <c r="J201"/>
  <c r="J129"/>
  <c r="J179"/>
  <c r="T129"/>
  <c r="T179"/>
  <c r="P179"/>
  <c r="X129"/>
  <c r="X179"/>
  <c r="H201"/>
  <c r="H179"/>
  <c r="H129"/>
  <c r="G477"/>
  <c r="G933"/>
  <c r="G934"/>
  <c r="I112" i="4"/>
  <c r="N112"/>
  <c r="G1161" i="2"/>
  <c r="G1162"/>
  <c r="I114"/>
  <c r="N114"/>
  <c r="G1047"/>
  <c r="G1048"/>
  <c r="I113" i="4"/>
  <c r="N113"/>
  <c r="I114"/>
  <c r="N114"/>
  <c r="G591" i="2"/>
  <c r="G592"/>
  <c r="G705"/>
  <c r="G706"/>
  <c r="G819"/>
  <c r="G820"/>
  <c r="G363"/>
  <c r="G364"/>
  <c r="I107" i="4"/>
  <c r="N107"/>
  <c r="G478" i="2"/>
  <c r="AE409"/>
  <c r="AA429"/>
  <c r="W409"/>
  <c r="S429"/>
  <c r="O409"/>
  <c r="K429"/>
  <c r="Z429"/>
  <c r="R409"/>
  <c r="J429"/>
  <c r="J409"/>
  <c r="T409"/>
  <c r="X429"/>
  <c r="AC429"/>
  <c r="Y409"/>
  <c r="U429"/>
  <c r="Q409"/>
  <c r="M429"/>
  <c r="I429"/>
  <c r="I409"/>
  <c r="AD409"/>
  <c r="V429"/>
  <c r="N409"/>
  <c r="AB429"/>
  <c r="L409"/>
  <c r="P429"/>
  <c r="H429"/>
  <c r="AE429"/>
  <c r="AA409"/>
  <c r="W429"/>
  <c r="S409"/>
  <c r="O429"/>
  <c r="K409"/>
  <c r="Z409"/>
  <c r="R429"/>
  <c r="T429"/>
  <c r="X409"/>
  <c r="AC409"/>
  <c r="Y429"/>
  <c r="U409"/>
  <c r="Q429"/>
  <c r="M409"/>
  <c r="AD429"/>
  <c r="V409"/>
  <c r="N429"/>
  <c r="AB409"/>
  <c r="L429"/>
  <c r="P409"/>
  <c r="H409"/>
  <c r="H383"/>
  <c r="L383"/>
  <c r="N383"/>
  <c r="AD383"/>
  <c r="M383"/>
  <c r="U383"/>
  <c r="AC383"/>
  <c r="X422"/>
  <c r="X433"/>
  <c r="X434"/>
  <c r="X435"/>
  <c r="J422"/>
  <c r="J433"/>
  <c r="J434"/>
  <c r="J435"/>
  <c r="Z422"/>
  <c r="Z433"/>
  <c r="Z434"/>
  <c r="Z435"/>
  <c r="S383"/>
  <c r="AA383"/>
  <c r="H422"/>
  <c r="H433"/>
  <c r="H434"/>
  <c r="L422"/>
  <c r="L433"/>
  <c r="L434"/>
  <c r="L435"/>
  <c r="N422"/>
  <c r="N433"/>
  <c r="N434"/>
  <c r="N435"/>
  <c r="AD422"/>
  <c r="AD433"/>
  <c r="AD434"/>
  <c r="AD435"/>
  <c r="AD437"/>
  <c r="Q383"/>
  <c r="Y383"/>
  <c r="X383"/>
  <c r="J383"/>
  <c r="Z383"/>
  <c r="O383"/>
  <c r="W383"/>
  <c r="AE383"/>
  <c r="P422"/>
  <c r="P433"/>
  <c r="P434"/>
  <c r="P435"/>
  <c r="AB422"/>
  <c r="AB433"/>
  <c r="AB434"/>
  <c r="AB435"/>
  <c r="AB437"/>
  <c r="V422"/>
  <c r="V433"/>
  <c r="V434"/>
  <c r="V435"/>
  <c r="V437"/>
  <c r="I422"/>
  <c r="I433"/>
  <c r="I434"/>
  <c r="I435"/>
  <c r="M422"/>
  <c r="M433"/>
  <c r="M434"/>
  <c r="M435"/>
  <c r="M437"/>
  <c r="U422"/>
  <c r="U433"/>
  <c r="U434"/>
  <c r="U435"/>
  <c r="U437"/>
  <c r="AC422"/>
  <c r="AC433"/>
  <c r="AC434"/>
  <c r="AC435"/>
  <c r="AC437"/>
  <c r="T383"/>
  <c r="R383"/>
  <c r="K383"/>
  <c r="S422"/>
  <c r="S433"/>
  <c r="S434"/>
  <c r="S435"/>
  <c r="S437"/>
  <c r="AA422"/>
  <c r="AA433"/>
  <c r="AA434"/>
  <c r="AA435"/>
  <c r="AA437"/>
  <c r="P383"/>
  <c r="AB383"/>
  <c r="V383"/>
  <c r="I383"/>
  <c r="Q422"/>
  <c r="Q433"/>
  <c r="Q434"/>
  <c r="Q435"/>
  <c r="Q437"/>
  <c r="Y422"/>
  <c r="Y433"/>
  <c r="Y434"/>
  <c r="Y435"/>
  <c r="Y437"/>
  <c r="T422"/>
  <c r="T433"/>
  <c r="T434"/>
  <c r="T435"/>
  <c r="T437"/>
  <c r="R422"/>
  <c r="R433"/>
  <c r="R434"/>
  <c r="R435"/>
  <c r="R437"/>
  <c r="K422"/>
  <c r="K433"/>
  <c r="K434"/>
  <c r="K435"/>
  <c r="K437"/>
  <c r="O422"/>
  <c r="O433"/>
  <c r="O434"/>
  <c r="O435"/>
  <c r="O437"/>
  <c r="W422"/>
  <c r="W433"/>
  <c r="W434"/>
  <c r="W435"/>
  <c r="W437"/>
  <c r="AE422"/>
  <c r="AE433"/>
  <c r="AE434"/>
  <c r="AE435"/>
  <c r="AE437"/>
  <c r="P437"/>
  <c r="N437"/>
  <c r="L437"/>
  <c r="J437"/>
  <c r="Z437"/>
  <c r="I437"/>
  <c r="AC295"/>
  <c r="Y315"/>
  <c r="U295"/>
  <c r="Q315"/>
  <c r="M295"/>
  <c r="I315"/>
  <c r="AD315"/>
  <c r="V295"/>
  <c r="V315"/>
  <c r="T295"/>
  <c r="T315"/>
  <c r="H315"/>
  <c r="P295"/>
  <c r="P315"/>
  <c r="AE295"/>
  <c r="AA315"/>
  <c r="W295"/>
  <c r="S315"/>
  <c r="O295"/>
  <c r="K315"/>
  <c r="Z315"/>
  <c r="R295"/>
  <c r="R315"/>
  <c r="AB295"/>
  <c r="X295"/>
  <c r="X315"/>
  <c r="AC315"/>
  <c r="Y295"/>
  <c r="U315"/>
  <c r="Q295"/>
  <c r="M315"/>
  <c r="I295"/>
  <c r="AD295"/>
  <c r="N295"/>
  <c r="N315"/>
  <c r="H295"/>
  <c r="AE315"/>
  <c r="AA295"/>
  <c r="W315"/>
  <c r="S295"/>
  <c r="O315"/>
  <c r="K295"/>
  <c r="Z295"/>
  <c r="J295"/>
  <c r="J315"/>
  <c r="AB315"/>
  <c r="L295"/>
  <c r="L315"/>
  <c r="L308"/>
  <c r="L319"/>
  <c r="L320"/>
  <c r="L321"/>
  <c r="J308"/>
  <c r="J319"/>
  <c r="J320"/>
  <c r="J321"/>
  <c r="Z308"/>
  <c r="Z319"/>
  <c r="Z320"/>
  <c r="Z321"/>
  <c r="K308"/>
  <c r="K319"/>
  <c r="K320"/>
  <c r="K321"/>
  <c r="S308"/>
  <c r="S319"/>
  <c r="S320"/>
  <c r="S321"/>
  <c r="AA308"/>
  <c r="AA319"/>
  <c r="AA320"/>
  <c r="AA321"/>
  <c r="H308"/>
  <c r="H319"/>
  <c r="H320"/>
  <c r="H321"/>
  <c r="N308"/>
  <c r="N319"/>
  <c r="N320"/>
  <c r="N321"/>
  <c r="AD308"/>
  <c r="AD319"/>
  <c r="AD320"/>
  <c r="AD321"/>
  <c r="I308"/>
  <c r="I319"/>
  <c r="I320"/>
  <c r="I321"/>
  <c r="Q308"/>
  <c r="Q319"/>
  <c r="Q320"/>
  <c r="Q321"/>
  <c r="Y308"/>
  <c r="Y319"/>
  <c r="Y320"/>
  <c r="Y321"/>
  <c r="L269"/>
  <c r="J269"/>
  <c r="Z269"/>
  <c r="O308"/>
  <c r="O319"/>
  <c r="O320"/>
  <c r="O321"/>
  <c r="O323"/>
  <c r="W308"/>
  <c r="W319"/>
  <c r="W320"/>
  <c r="W321"/>
  <c r="AE308"/>
  <c r="AE319"/>
  <c r="AE320"/>
  <c r="AE321"/>
  <c r="AE323"/>
  <c r="H269"/>
  <c r="N269"/>
  <c r="AD269"/>
  <c r="M308"/>
  <c r="M319"/>
  <c r="M320"/>
  <c r="M321"/>
  <c r="U308"/>
  <c r="U319"/>
  <c r="U320"/>
  <c r="U321"/>
  <c r="U323"/>
  <c r="AC308"/>
  <c r="AC319"/>
  <c r="AC320"/>
  <c r="AC321"/>
  <c r="AC323"/>
  <c r="X269"/>
  <c r="AB269"/>
  <c r="R269"/>
  <c r="K269"/>
  <c r="S269"/>
  <c r="AA269"/>
  <c r="P269"/>
  <c r="T269"/>
  <c r="V269"/>
  <c r="I269"/>
  <c r="Q269"/>
  <c r="Y269"/>
  <c r="X308"/>
  <c r="X319"/>
  <c r="X320"/>
  <c r="X321"/>
  <c r="AB308"/>
  <c r="AB319"/>
  <c r="AB320"/>
  <c r="AB321"/>
  <c r="AB323"/>
  <c r="R308"/>
  <c r="R319"/>
  <c r="R320"/>
  <c r="R321"/>
  <c r="O269"/>
  <c r="W269"/>
  <c r="AE269"/>
  <c r="P308"/>
  <c r="P319"/>
  <c r="P320"/>
  <c r="P321"/>
  <c r="P323"/>
  <c r="T308"/>
  <c r="T319"/>
  <c r="T320"/>
  <c r="T321"/>
  <c r="T323"/>
  <c r="V308"/>
  <c r="V319"/>
  <c r="V320"/>
  <c r="V321"/>
  <c r="V323"/>
  <c r="M269"/>
  <c r="U269"/>
  <c r="AC269"/>
  <c r="R323"/>
  <c r="K323"/>
  <c r="L323"/>
  <c r="N323"/>
  <c r="AD323"/>
  <c r="M323"/>
  <c r="Q323"/>
  <c r="Y323"/>
  <c r="J323"/>
  <c r="Z323"/>
  <c r="S323"/>
  <c r="W323"/>
  <c r="AA323"/>
  <c r="I323"/>
  <c r="W237"/>
  <c r="W238"/>
  <c r="O237"/>
  <c r="O238"/>
  <c r="Z237"/>
  <c r="Z238"/>
  <c r="J237"/>
  <c r="J238"/>
  <c r="P237"/>
  <c r="P238"/>
  <c r="AA237"/>
  <c r="AA238"/>
  <c r="Y237"/>
  <c r="Y238"/>
  <c r="Q237"/>
  <c r="Q238"/>
  <c r="I238"/>
  <c r="I239"/>
  <c r="V237"/>
  <c r="V238"/>
  <c r="AB237"/>
  <c r="AB238"/>
  <c r="AE237"/>
  <c r="AE238"/>
  <c r="S237"/>
  <c r="S238"/>
  <c r="K237"/>
  <c r="K238"/>
  <c r="R237"/>
  <c r="R238"/>
  <c r="T237"/>
  <c r="T238"/>
  <c r="X237"/>
  <c r="X238"/>
  <c r="AC237"/>
  <c r="AC238"/>
  <c r="U237"/>
  <c r="U238"/>
  <c r="M237"/>
  <c r="M238"/>
  <c r="AD237"/>
  <c r="AD238"/>
  <c r="N237"/>
  <c r="N238"/>
  <c r="L237"/>
  <c r="L238"/>
  <c r="M194"/>
  <c r="M205"/>
  <c r="M206"/>
  <c r="U194"/>
  <c r="U205"/>
  <c r="AC194"/>
  <c r="AC205"/>
  <c r="AC206"/>
  <c r="T194"/>
  <c r="T205"/>
  <c r="R194"/>
  <c r="R205"/>
  <c r="R206"/>
  <c r="L194"/>
  <c r="L205"/>
  <c r="N194"/>
  <c r="N205"/>
  <c r="N206"/>
  <c r="AD194"/>
  <c r="AD205"/>
  <c r="H194"/>
  <c r="H205"/>
  <c r="H206"/>
  <c r="H207"/>
  <c r="O194"/>
  <c r="O205"/>
  <c r="W194"/>
  <c r="W205"/>
  <c r="W206"/>
  <c r="AE194"/>
  <c r="AE205"/>
  <c r="I194"/>
  <c r="I205"/>
  <c r="I206"/>
  <c r="I207"/>
  <c r="Q194"/>
  <c r="Q205"/>
  <c r="Q206"/>
  <c r="Y194"/>
  <c r="Y205"/>
  <c r="Y206"/>
  <c r="P194"/>
  <c r="P205"/>
  <c r="J194"/>
  <c r="J205"/>
  <c r="J206"/>
  <c r="Z194"/>
  <c r="AB194"/>
  <c r="AB205"/>
  <c r="AB206"/>
  <c r="V194"/>
  <c r="V205"/>
  <c r="V206"/>
  <c r="V207"/>
  <c r="X194"/>
  <c r="X205"/>
  <c r="X206"/>
  <c r="K194"/>
  <c r="K205"/>
  <c r="K206"/>
  <c r="S194"/>
  <c r="S205"/>
  <c r="S206"/>
  <c r="AA194"/>
  <c r="AA205"/>
  <c r="AA206"/>
  <c r="H148"/>
  <c r="H150"/>
  <c r="P206"/>
  <c r="L206"/>
  <c r="AD206"/>
  <c r="T206"/>
  <c r="T207"/>
  <c r="O206"/>
  <c r="O207"/>
  <c r="AE206"/>
  <c r="AE207"/>
  <c r="U206"/>
  <c r="Y148"/>
  <c r="Y150"/>
  <c r="Q148"/>
  <c r="Q150"/>
  <c r="I148"/>
  <c r="I150"/>
  <c r="V148"/>
  <c r="V150"/>
  <c r="AB148"/>
  <c r="AB150"/>
  <c r="AE148"/>
  <c r="AE150"/>
  <c r="W148"/>
  <c r="W150"/>
  <c r="O148"/>
  <c r="O150"/>
  <c r="Z148"/>
  <c r="Z150"/>
  <c r="J148"/>
  <c r="J150"/>
  <c r="P148"/>
  <c r="P150"/>
  <c r="X148"/>
  <c r="X150"/>
  <c r="AC148"/>
  <c r="AC150"/>
  <c r="U148"/>
  <c r="U150"/>
  <c r="M148"/>
  <c r="M150"/>
  <c r="AD148"/>
  <c r="AD150"/>
  <c r="N148"/>
  <c r="N150"/>
  <c r="L148"/>
  <c r="L150"/>
  <c r="AA148"/>
  <c r="AA150"/>
  <c r="S148"/>
  <c r="S150"/>
  <c r="K148"/>
  <c r="K150"/>
  <c r="R148"/>
  <c r="R150"/>
  <c r="T148"/>
  <c r="T150"/>
  <c r="AE370"/>
  <c r="W370"/>
  <c r="O370"/>
  <c r="R370"/>
  <c r="T370"/>
  <c r="X370"/>
  <c r="AC370"/>
  <c r="U370"/>
  <c r="M370"/>
  <c r="V370"/>
  <c r="AB370"/>
  <c r="H370"/>
  <c r="AA370"/>
  <c r="S370"/>
  <c r="K370"/>
  <c r="Z370"/>
  <c r="J370"/>
  <c r="Y370"/>
  <c r="Q370"/>
  <c r="I370"/>
  <c r="AD370"/>
  <c r="N370"/>
  <c r="L370"/>
  <c r="P370"/>
  <c r="Y256"/>
  <c r="Q256"/>
  <c r="I256"/>
  <c r="V256"/>
  <c r="T256"/>
  <c r="P256"/>
  <c r="AE256"/>
  <c r="AA256"/>
  <c r="W256"/>
  <c r="S256"/>
  <c r="O256"/>
  <c r="K256"/>
  <c r="R256"/>
  <c r="AC256"/>
  <c r="U256"/>
  <c r="M256"/>
  <c r="AD256"/>
  <c r="N256"/>
  <c r="H256"/>
  <c r="Z256"/>
  <c r="J256"/>
  <c r="AB256"/>
  <c r="L256"/>
  <c r="X256"/>
  <c r="I113"/>
  <c r="N113"/>
  <c r="I112"/>
  <c r="N112"/>
  <c r="I108" i="4"/>
  <c r="N108"/>
  <c r="I108" i="2"/>
  <c r="N108"/>
  <c r="I111" i="4"/>
  <c r="N111"/>
  <c r="I111" i="2"/>
  <c r="N111"/>
  <c r="I109" i="4"/>
  <c r="N109"/>
  <c r="I109" i="2"/>
  <c r="N109"/>
  <c r="I110" i="4"/>
  <c r="N110"/>
  <c r="I110" i="2"/>
  <c r="N110"/>
  <c r="N115" i="4"/>
  <c r="Q107" i="2"/>
  <c r="Q115"/>
  <c r="I107"/>
  <c r="N107"/>
  <c r="L239"/>
  <c r="L241"/>
  <c r="AD239"/>
  <c r="AD241"/>
  <c r="U239"/>
  <c r="U241"/>
  <c r="X239"/>
  <c r="X241"/>
  <c r="R239"/>
  <c r="R241"/>
  <c r="S239"/>
  <c r="S241"/>
  <c r="AB239"/>
  <c r="AB241"/>
  <c r="Y239"/>
  <c r="Y241"/>
  <c r="P239"/>
  <c r="P241"/>
  <c r="Z239"/>
  <c r="Z241"/>
  <c r="W239"/>
  <c r="W241"/>
  <c r="V387"/>
  <c r="V388"/>
  <c r="V389"/>
  <c r="V385"/>
  <c r="P387"/>
  <c r="P388"/>
  <c r="P389"/>
  <c r="P385"/>
  <c r="P391"/>
  <c r="R387"/>
  <c r="R388"/>
  <c r="R389"/>
  <c r="R385"/>
  <c r="W387"/>
  <c r="W388"/>
  <c r="W389"/>
  <c r="W385"/>
  <c r="W391"/>
  <c r="Z387"/>
  <c r="Z388"/>
  <c r="Z389"/>
  <c r="Z385"/>
  <c r="X387"/>
  <c r="X388"/>
  <c r="X389"/>
  <c r="X385"/>
  <c r="Q387"/>
  <c r="Q388"/>
  <c r="Q389"/>
  <c r="Q385"/>
  <c r="S387"/>
  <c r="S388"/>
  <c r="S389"/>
  <c r="S385"/>
  <c r="AC387"/>
  <c r="AC388"/>
  <c r="AC389"/>
  <c r="AC385"/>
  <c r="M387"/>
  <c r="M388"/>
  <c r="M389"/>
  <c r="M385"/>
  <c r="N387"/>
  <c r="N388"/>
  <c r="N389"/>
  <c r="N385"/>
  <c r="H387"/>
  <c r="H388"/>
  <c r="H389"/>
  <c r="H385"/>
  <c r="N239"/>
  <c r="N241"/>
  <c r="M239"/>
  <c r="M241"/>
  <c r="AC239"/>
  <c r="AC241"/>
  <c r="T239"/>
  <c r="T241"/>
  <c r="K239"/>
  <c r="K241"/>
  <c r="AE239"/>
  <c r="AE241"/>
  <c r="V239"/>
  <c r="V241"/>
  <c r="Q239"/>
  <c r="Q241"/>
  <c r="AA239"/>
  <c r="AA241"/>
  <c r="J239"/>
  <c r="J241"/>
  <c r="O239"/>
  <c r="O241"/>
  <c r="I387"/>
  <c r="I388"/>
  <c r="I389"/>
  <c r="I385"/>
  <c r="AB387"/>
  <c r="AB388"/>
  <c r="AB389"/>
  <c r="AB385"/>
  <c r="K387"/>
  <c r="K388"/>
  <c r="K389"/>
  <c r="K385"/>
  <c r="T387"/>
  <c r="T388"/>
  <c r="T389"/>
  <c r="T385"/>
  <c r="AE387"/>
  <c r="AE388"/>
  <c r="AE389"/>
  <c r="AE385"/>
  <c r="O387"/>
  <c r="O388"/>
  <c r="O389"/>
  <c r="O385"/>
  <c r="J387"/>
  <c r="J388"/>
  <c r="J389"/>
  <c r="J385"/>
  <c r="Y387"/>
  <c r="Y388"/>
  <c r="Y389"/>
  <c r="Y385"/>
  <c r="AA387"/>
  <c r="AA388"/>
  <c r="AA389"/>
  <c r="AA385"/>
  <c r="U387"/>
  <c r="U388"/>
  <c r="U389"/>
  <c r="U385"/>
  <c r="AD387"/>
  <c r="AD388"/>
  <c r="AD389"/>
  <c r="AD385"/>
  <c r="L387"/>
  <c r="L388"/>
  <c r="L389"/>
  <c r="L385"/>
  <c r="G422"/>
  <c r="X437"/>
  <c r="G409"/>
  <c r="G415"/>
  <c r="G383"/>
  <c r="G429"/>
  <c r="U271"/>
  <c r="U273"/>
  <c r="U274"/>
  <c r="U275"/>
  <c r="W271"/>
  <c r="W273"/>
  <c r="W274"/>
  <c r="W275"/>
  <c r="Q271"/>
  <c r="Q273"/>
  <c r="Q274"/>
  <c r="Q275"/>
  <c r="V273"/>
  <c r="V274"/>
  <c r="V275"/>
  <c r="V271"/>
  <c r="P273"/>
  <c r="P274"/>
  <c r="P275"/>
  <c r="P271"/>
  <c r="S271"/>
  <c r="S273"/>
  <c r="S274"/>
  <c r="S275"/>
  <c r="R273"/>
  <c r="R274"/>
  <c r="R275"/>
  <c r="R271"/>
  <c r="X273"/>
  <c r="X274"/>
  <c r="X275"/>
  <c r="X271"/>
  <c r="AD273"/>
  <c r="AD274"/>
  <c r="AD275"/>
  <c r="AD271"/>
  <c r="H273"/>
  <c r="H274"/>
  <c r="H275"/>
  <c r="H271"/>
  <c r="Z273"/>
  <c r="Z274"/>
  <c r="Z275"/>
  <c r="Z271"/>
  <c r="L273"/>
  <c r="L274"/>
  <c r="L275"/>
  <c r="L271"/>
  <c r="AC271"/>
  <c r="AC273"/>
  <c r="AC274"/>
  <c r="AC275"/>
  <c r="M271"/>
  <c r="M273"/>
  <c r="M274"/>
  <c r="M275"/>
  <c r="AE271"/>
  <c r="AE273"/>
  <c r="AE274"/>
  <c r="AE275"/>
  <c r="O271"/>
  <c r="O273"/>
  <c r="O274"/>
  <c r="O275"/>
  <c r="Y271"/>
  <c r="Y273"/>
  <c r="Y274"/>
  <c r="Y275"/>
  <c r="I271"/>
  <c r="I273"/>
  <c r="I274"/>
  <c r="I275"/>
  <c r="T273"/>
  <c r="T274"/>
  <c r="T275"/>
  <c r="T271"/>
  <c r="AA271"/>
  <c r="AA273"/>
  <c r="AA274"/>
  <c r="AA275"/>
  <c r="K271"/>
  <c r="K273"/>
  <c r="K274"/>
  <c r="K275"/>
  <c r="AB273"/>
  <c r="AB274"/>
  <c r="AB275"/>
  <c r="AB271"/>
  <c r="N273"/>
  <c r="N274"/>
  <c r="N275"/>
  <c r="N271"/>
  <c r="J273"/>
  <c r="J274"/>
  <c r="J275"/>
  <c r="J271"/>
  <c r="X323"/>
  <c r="G269"/>
  <c r="G315"/>
  <c r="G308"/>
  <c r="G295"/>
  <c r="G301"/>
  <c r="I241"/>
  <c r="G238"/>
  <c r="G237"/>
  <c r="G233"/>
  <c r="K207"/>
  <c r="K209"/>
  <c r="Q207"/>
  <c r="Q209"/>
  <c r="X207"/>
  <c r="X209"/>
  <c r="L207"/>
  <c r="L209"/>
  <c r="S207"/>
  <c r="S209"/>
  <c r="AC207"/>
  <c r="AC209"/>
  <c r="AB207"/>
  <c r="AB209"/>
  <c r="R207"/>
  <c r="R209"/>
  <c r="AA207"/>
  <c r="AA209"/>
  <c r="J207"/>
  <c r="J209"/>
  <c r="U207"/>
  <c r="U209"/>
  <c r="AD207"/>
  <c r="AD209"/>
  <c r="P207"/>
  <c r="P209"/>
  <c r="M207"/>
  <c r="M209"/>
  <c r="W207"/>
  <c r="W209"/>
  <c r="Y207"/>
  <c r="Y209"/>
  <c r="N207"/>
  <c r="N209"/>
  <c r="Z205"/>
  <c r="Z206"/>
  <c r="V209"/>
  <c r="O209"/>
  <c r="AE209"/>
  <c r="T209"/>
  <c r="I209"/>
  <c r="G205"/>
  <c r="G194"/>
  <c r="H152"/>
  <c r="T152"/>
  <c r="K152"/>
  <c r="AA152"/>
  <c r="N152"/>
  <c r="M152"/>
  <c r="AC152"/>
  <c r="P152"/>
  <c r="Z152"/>
  <c r="W152"/>
  <c r="AB152"/>
  <c r="I152"/>
  <c r="I153"/>
  <c r="I154"/>
  <c r="I156"/>
  <c r="Y152"/>
  <c r="R152"/>
  <c r="S152"/>
  <c r="L152"/>
  <c r="AD152"/>
  <c r="U152"/>
  <c r="X152"/>
  <c r="J152"/>
  <c r="O152"/>
  <c r="AE152"/>
  <c r="V152"/>
  <c r="Q152"/>
  <c r="G148"/>
  <c r="G256"/>
  <c r="G259"/>
  <c r="G370"/>
  <c r="G373"/>
  <c r="G150"/>
  <c r="G129"/>
  <c r="G132"/>
  <c r="G179"/>
  <c r="G187"/>
  <c r="G201"/>
  <c r="G219"/>
  <c r="G239"/>
  <c r="L391"/>
  <c r="AD391"/>
  <c r="U391"/>
  <c r="J391"/>
  <c r="T391"/>
  <c r="AB391"/>
  <c r="N391"/>
  <c r="Z391"/>
  <c r="N115"/>
  <c r="G241"/>
  <c r="G387"/>
  <c r="V391"/>
  <c r="X391"/>
  <c r="R391"/>
  <c r="G385"/>
  <c r="I391"/>
  <c r="Y391"/>
  <c r="AA391"/>
  <c r="O391"/>
  <c r="M391"/>
  <c r="AC391"/>
  <c r="K391"/>
  <c r="AE391"/>
  <c r="Q391"/>
  <c r="S391"/>
  <c r="P277"/>
  <c r="Z277"/>
  <c r="AB277"/>
  <c r="I277"/>
  <c r="S277"/>
  <c r="AA277"/>
  <c r="J277"/>
  <c r="O277"/>
  <c r="V277"/>
  <c r="W277"/>
  <c r="AE277"/>
  <c r="X277"/>
  <c r="R277"/>
  <c r="L277"/>
  <c r="AD277"/>
  <c r="U277"/>
  <c r="AC277"/>
  <c r="G271"/>
  <c r="T277"/>
  <c r="K277"/>
  <c r="N277"/>
  <c r="M277"/>
  <c r="Q277"/>
  <c r="Y277"/>
  <c r="G319"/>
  <c r="G273"/>
  <c r="Z207"/>
  <c r="Z209"/>
  <c r="G220"/>
  <c r="H209"/>
  <c r="G206"/>
  <c r="Q153"/>
  <c r="Q154"/>
  <c r="Q156"/>
  <c r="AE153"/>
  <c r="AE154"/>
  <c r="AE156"/>
  <c r="J153"/>
  <c r="J154"/>
  <c r="J156"/>
  <c r="U153"/>
  <c r="U154"/>
  <c r="U156"/>
  <c r="L153"/>
  <c r="L154"/>
  <c r="L156"/>
  <c r="R153"/>
  <c r="R154"/>
  <c r="R156"/>
  <c r="W153"/>
  <c r="W154"/>
  <c r="W156"/>
  <c r="P153"/>
  <c r="P154"/>
  <c r="P156"/>
  <c r="M153"/>
  <c r="M154"/>
  <c r="M156"/>
  <c r="AA153"/>
  <c r="AA154"/>
  <c r="AA156"/>
  <c r="T153"/>
  <c r="T154"/>
  <c r="T156"/>
  <c r="H153"/>
  <c r="H154"/>
  <c r="H156"/>
  <c r="V153"/>
  <c r="V154"/>
  <c r="V156"/>
  <c r="O153"/>
  <c r="O154"/>
  <c r="O156"/>
  <c r="X153"/>
  <c r="X154"/>
  <c r="X156"/>
  <c r="AD153"/>
  <c r="AD154"/>
  <c r="AD156"/>
  <c r="S153"/>
  <c r="S154"/>
  <c r="S156"/>
  <c r="Y153"/>
  <c r="Y154"/>
  <c r="Y156"/>
  <c r="AB153"/>
  <c r="AB154"/>
  <c r="AB156"/>
  <c r="Z153"/>
  <c r="Z154"/>
  <c r="Z156"/>
  <c r="AC153"/>
  <c r="AC154"/>
  <c r="AC156"/>
  <c r="N153"/>
  <c r="N154"/>
  <c r="N156"/>
  <c r="K153"/>
  <c r="K154"/>
  <c r="K156"/>
  <c r="G152"/>
  <c r="P106"/>
  <c r="O106"/>
  <c r="P107"/>
  <c r="G106"/>
  <c r="M106"/>
  <c r="G106" i="4"/>
  <c r="M106"/>
  <c r="G388" i="2"/>
  <c r="G320"/>
  <c r="G274"/>
  <c r="G209"/>
  <c r="G207"/>
  <c r="O108"/>
  <c r="P108"/>
  <c r="G154"/>
  <c r="G156"/>
  <c r="G153"/>
  <c r="R20"/>
  <c r="AC543"/>
  <c r="Y523"/>
  <c r="U543"/>
  <c r="Q523"/>
  <c r="M543"/>
  <c r="I523"/>
  <c r="V543"/>
  <c r="V523"/>
  <c r="T543"/>
  <c r="T523"/>
  <c r="X543"/>
  <c r="X523"/>
  <c r="P543"/>
  <c r="P523"/>
  <c r="AE543"/>
  <c r="AA523"/>
  <c r="W543"/>
  <c r="S523"/>
  <c r="O543"/>
  <c r="K523"/>
  <c r="R543"/>
  <c r="R523"/>
  <c r="L543"/>
  <c r="L523"/>
  <c r="AC523"/>
  <c r="Y543"/>
  <c r="U523"/>
  <c r="Q543"/>
  <c r="M523"/>
  <c r="I543"/>
  <c r="AD543"/>
  <c r="AD523"/>
  <c r="N543"/>
  <c r="N523"/>
  <c r="AE523"/>
  <c r="AA543"/>
  <c r="W523"/>
  <c r="S543"/>
  <c r="O523"/>
  <c r="K543"/>
  <c r="Z543"/>
  <c r="Z523"/>
  <c r="J543"/>
  <c r="J523"/>
  <c r="AB543"/>
  <c r="AB523"/>
  <c r="H543"/>
  <c r="H523"/>
  <c r="AB536"/>
  <c r="AB547"/>
  <c r="AB548"/>
  <c r="AB549"/>
  <c r="AB551"/>
  <c r="J497"/>
  <c r="Z497"/>
  <c r="K536"/>
  <c r="K547"/>
  <c r="K548"/>
  <c r="K549"/>
  <c r="K551"/>
  <c r="S536"/>
  <c r="S547"/>
  <c r="S548"/>
  <c r="S549"/>
  <c r="AA536"/>
  <c r="AA547"/>
  <c r="AA548"/>
  <c r="AA549"/>
  <c r="AA551"/>
  <c r="N497"/>
  <c r="AD497"/>
  <c r="I536"/>
  <c r="I547"/>
  <c r="I548"/>
  <c r="I549"/>
  <c r="Q536"/>
  <c r="Q547"/>
  <c r="Q548"/>
  <c r="Q549"/>
  <c r="Q551"/>
  <c r="Y536"/>
  <c r="Y547"/>
  <c r="Y548"/>
  <c r="Y549"/>
  <c r="L497"/>
  <c r="R536"/>
  <c r="R547"/>
  <c r="R548"/>
  <c r="R549"/>
  <c r="R551"/>
  <c r="O536"/>
  <c r="O547"/>
  <c r="O548"/>
  <c r="O549"/>
  <c r="O551"/>
  <c r="W536"/>
  <c r="W547"/>
  <c r="W548"/>
  <c r="W549"/>
  <c r="W551"/>
  <c r="AE536"/>
  <c r="AE547"/>
  <c r="AE548"/>
  <c r="AE549"/>
  <c r="AE551"/>
  <c r="P536"/>
  <c r="P547"/>
  <c r="P548"/>
  <c r="P549"/>
  <c r="P551"/>
  <c r="X497"/>
  <c r="T497"/>
  <c r="V497"/>
  <c r="I497"/>
  <c r="Q497"/>
  <c r="Y497"/>
  <c r="M536"/>
  <c r="M547"/>
  <c r="M548"/>
  <c r="M549"/>
  <c r="M551"/>
  <c r="H497"/>
  <c r="H536"/>
  <c r="AB497"/>
  <c r="J536"/>
  <c r="J547"/>
  <c r="J548"/>
  <c r="J549"/>
  <c r="Z536"/>
  <c r="Z547"/>
  <c r="Z548"/>
  <c r="Z549"/>
  <c r="Z551"/>
  <c r="O497"/>
  <c r="W497"/>
  <c r="AE497"/>
  <c r="N536"/>
  <c r="N547"/>
  <c r="N548"/>
  <c r="N549"/>
  <c r="N551"/>
  <c r="AD536"/>
  <c r="AD547"/>
  <c r="AD548"/>
  <c r="AD549"/>
  <c r="AD551"/>
  <c r="M497"/>
  <c r="U497"/>
  <c r="AC497"/>
  <c r="L536"/>
  <c r="L547"/>
  <c r="L548"/>
  <c r="L549"/>
  <c r="L551"/>
  <c r="R497"/>
  <c r="K497"/>
  <c r="S497"/>
  <c r="AA497"/>
  <c r="P497"/>
  <c r="X536"/>
  <c r="X547"/>
  <c r="X548"/>
  <c r="X549"/>
  <c r="X551"/>
  <c r="T536"/>
  <c r="T547"/>
  <c r="T548"/>
  <c r="T549"/>
  <c r="T551"/>
  <c r="V536"/>
  <c r="V547"/>
  <c r="V548"/>
  <c r="V549"/>
  <c r="V551"/>
  <c r="U536"/>
  <c r="U547"/>
  <c r="U548"/>
  <c r="U549"/>
  <c r="U551"/>
  <c r="AC536"/>
  <c r="AC547"/>
  <c r="AC548"/>
  <c r="AC549"/>
  <c r="AC551"/>
  <c r="AC484"/>
  <c r="Y484"/>
  <c r="U484"/>
  <c r="Q484"/>
  <c r="M484"/>
  <c r="I484"/>
  <c r="AE484"/>
  <c r="AA484"/>
  <c r="W484"/>
  <c r="S484"/>
  <c r="O484"/>
  <c r="K484"/>
  <c r="AD484"/>
  <c r="V484"/>
  <c r="N484"/>
  <c r="T484"/>
  <c r="X484"/>
  <c r="P484"/>
  <c r="Z484"/>
  <c r="R484"/>
  <c r="J484"/>
  <c r="AB484"/>
  <c r="L484"/>
  <c r="H484"/>
  <c r="H391"/>
  <c r="G391"/>
  <c r="G389"/>
  <c r="H277"/>
  <c r="G277"/>
  <c r="G275"/>
  <c r="H323"/>
  <c r="G323"/>
  <c r="G321"/>
  <c r="G168"/>
  <c r="G169"/>
  <c r="Y551"/>
  <c r="I551"/>
  <c r="S551"/>
  <c r="G333"/>
  <c r="G334"/>
  <c r="G107" i="4"/>
  <c r="M107"/>
  <c r="G289" i="2"/>
  <c r="G403"/>
  <c r="G484"/>
  <c r="G487"/>
  <c r="J551"/>
  <c r="G543"/>
  <c r="E106"/>
  <c r="L106"/>
  <c r="E106" i="4"/>
  <c r="L106"/>
  <c r="P501" i="2"/>
  <c r="P502"/>
  <c r="P503"/>
  <c r="P499"/>
  <c r="S501"/>
  <c r="S502"/>
  <c r="S503"/>
  <c r="S499"/>
  <c r="R501"/>
  <c r="R502"/>
  <c r="R503"/>
  <c r="R499"/>
  <c r="AC501"/>
  <c r="AC502"/>
  <c r="AC503"/>
  <c r="AC499"/>
  <c r="M501"/>
  <c r="M502"/>
  <c r="M503"/>
  <c r="M499"/>
  <c r="W501"/>
  <c r="W502"/>
  <c r="W503"/>
  <c r="W499"/>
  <c r="AB501"/>
  <c r="AB502"/>
  <c r="AB503"/>
  <c r="AB499"/>
  <c r="H501"/>
  <c r="H499"/>
  <c r="G497"/>
  <c r="Y501"/>
  <c r="Y502"/>
  <c r="Y503"/>
  <c r="Y499"/>
  <c r="I501"/>
  <c r="I502"/>
  <c r="I503"/>
  <c r="I499"/>
  <c r="T501"/>
  <c r="T502"/>
  <c r="T503"/>
  <c r="T499"/>
  <c r="N501"/>
  <c r="N502"/>
  <c r="N503"/>
  <c r="N499"/>
  <c r="Z501"/>
  <c r="Z502"/>
  <c r="Z503"/>
  <c r="Z499"/>
  <c r="AA501"/>
  <c r="AA502"/>
  <c r="AA503"/>
  <c r="AA499"/>
  <c r="K501"/>
  <c r="K502"/>
  <c r="K503"/>
  <c r="K499"/>
  <c r="U501"/>
  <c r="U502"/>
  <c r="U503"/>
  <c r="U499"/>
  <c r="AE501"/>
  <c r="AE502"/>
  <c r="AE503"/>
  <c r="AE499"/>
  <c r="O501"/>
  <c r="O502"/>
  <c r="O503"/>
  <c r="O499"/>
  <c r="H547"/>
  <c r="G536"/>
  <c r="Q501"/>
  <c r="Q502"/>
  <c r="Q503"/>
  <c r="Q499"/>
  <c r="V501"/>
  <c r="V502"/>
  <c r="V503"/>
  <c r="V499"/>
  <c r="X501"/>
  <c r="X502"/>
  <c r="X503"/>
  <c r="X499"/>
  <c r="L501"/>
  <c r="L502"/>
  <c r="L503"/>
  <c r="L499"/>
  <c r="AD501"/>
  <c r="AD502"/>
  <c r="AD503"/>
  <c r="AD499"/>
  <c r="J501"/>
  <c r="J502"/>
  <c r="J503"/>
  <c r="J499"/>
  <c r="G523"/>
  <c r="G529"/>
  <c r="G404"/>
  <c r="G290"/>
  <c r="E107" i="4"/>
  <c r="L107"/>
  <c r="S20" i="2"/>
  <c r="G107"/>
  <c r="M107"/>
  <c r="J505"/>
  <c r="AD505"/>
  <c r="L505"/>
  <c r="X505"/>
  <c r="V505"/>
  <c r="Q505"/>
  <c r="O505"/>
  <c r="AE505"/>
  <c r="U505"/>
  <c r="K505"/>
  <c r="AA505"/>
  <c r="Z505"/>
  <c r="N505"/>
  <c r="T505"/>
  <c r="I505"/>
  <c r="Y505"/>
  <c r="AC657"/>
  <c r="AC637"/>
  <c r="Y598"/>
  <c r="U657"/>
  <c r="U637"/>
  <c r="Q598"/>
  <c r="AB657"/>
  <c r="AB637"/>
  <c r="T598"/>
  <c r="M657"/>
  <c r="M637"/>
  <c r="AD598"/>
  <c r="L657"/>
  <c r="L637"/>
  <c r="L598"/>
  <c r="H598"/>
  <c r="AE657"/>
  <c r="AE637"/>
  <c r="AA598"/>
  <c r="W657"/>
  <c r="W637"/>
  <c r="S598"/>
  <c r="O657"/>
  <c r="O637"/>
  <c r="X598"/>
  <c r="K598"/>
  <c r="V598"/>
  <c r="Z657"/>
  <c r="Z637"/>
  <c r="AC598"/>
  <c r="Y657"/>
  <c r="Y637"/>
  <c r="U598"/>
  <c r="Q657"/>
  <c r="Q637"/>
  <c r="AB598"/>
  <c r="T657"/>
  <c r="T637"/>
  <c r="M598"/>
  <c r="I657"/>
  <c r="I637"/>
  <c r="I598"/>
  <c r="AD657"/>
  <c r="AD637"/>
  <c r="N657"/>
  <c r="N637"/>
  <c r="N598"/>
  <c r="H657"/>
  <c r="H637"/>
  <c r="AE598"/>
  <c r="AA657"/>
  <c r="AA637"/>
  <c r="W598"/>
  <c r="S657"/>
  <c r="S637"/>
  <c r="O598"/>
  <c r="X657"/>
  <c r="X637"/>
  <c r="P657"/>
  <c r="P637"/>
  <c r="P598"/>
  <c r="K657"/>
  <c r="K637"/>
  <c r="V657"/>
  <c r="V637"/>
  <c r="J657"/>
  <c r="J637"/>
  <c r="J598"/>
  <c r="Z598"/>
  <c r="R657"/>
  <c r="R637"/>
  <c r="R598"/>
  <c r="R611"/>
  <c r="J650"/>
  <c r="J661"/>
  <c r="J662"/>
  <c r="J663"/>
  <c r="J665"/>
  <c r="V611"/>
  <c r="K611"/>
  <c r="P650"/>
  <c r="P661"/>
  <c r="P662"/>
  <c r="P663"/>
  <c r="P665"/>
  <c r="X611"/>
  <c r="S611"/>
  <c r="AA611"/>
  <c r="N650"/>
  <c r="N661"/>
  <c r="N662"/>
  <c r="N663"/>
  <c r="N665"/>
  <c r="AD611"/>
  <c r="I650"/>
  <c r="I661"/>
  <c r="I662"/>
  <c r="I663"/>
  <c r="T650"/>
  <c r="T661"/>
  <c r="T662"/>
  <c r="T663"/>
  <c r="Q611"/>
  <c r="Y611"/>
  <c r="Z611"/>
  <c r="O611"/>
  <c r="W611"/>
  <c r="AE611"/>
  <c r="L650"/>
  <c r="L661"/>
  <c r="L662"/>
  <c r="L663"/>
  <c r="L665"/>
  <c r="I611"/>
  <c r="M650"/>
  <c r="M661"/>
  <c r="M662"/>
  <c r="M663"/>
  <c r="M665"/>
  <c r="AB650"/>
  <c r="AB661"/>
  <c r="AB662"/>
  <c r="AB663"/>
  <c r="AB665"/>
  <c r="U611"/>
  <c r="AC611"/>
  <c r="W650"/>
  <c r="W661"/>
  <c r="W662"/>
  <c r="W663"/>
  <c r="W665"/>
  <c r="L611"/>
  <c r="M611"/>
  <c r="U650"/>
  <c r="U661"/>
  <c r="U662"/>
  <c r="U663"/>
  <c r="U665"/>
  <c r="H611"/>
  <c r="H650"/>
  <c r="R650"/>
  <c r="R661"/>
  <c r="R662"/>
  <c r="R663"/>
  <c r="R665"/>
  <c r="J611"/>
  <c r="V650"/>
  <c r="V661"/>
  <c r="V662"/>
  <c r="V663"/>
  <c r="V665"/>
  <c r="K650"/>
  <c r="K661"/>
  <c r="K662"/>
  <c r="K663"/>
  <c r="K665"/>
  <c r="P611"/>
  <c r="X650"/>
  <c r="X661"/>
  <c r="X662"/>
  <c r="X663"/>
  <c r="X665"/>
  <c r="S650"/>
  <c r="S661"/>
  <c r="S662"/>
  <c r="S663"/>
  <c r="S665"/>
  <c r="AA650"/>
  <c r="AA661"/>
  <c r="AA662"/>
  <c r="AA663"/>
  <c r="AA665"/>
  <c r="N611"/>
  <c r="AD650"/>
  <c r="AD661"/>
  <c r="AD662"/>
  <c r="AD663"/>
  <c r="AD665"/>
  <c r="T611"/>
  <c r="Q650"/>
  <c r="Q661"/>
  <c r="Q662"/>
  <c r="Q663"/>
  <c r="Q665"/>
  <c r="Y650"/>
  <c r="Y661"/>
  <c r="Y662"/>
  <c r="Y663"/>
  <c r="Y665"/>
  <c r="Z650"/>
  <c r="Z661"/>
  <c r="Z662"/>
  <c r="Z663"/>
  <c r="Z665"/>
  <c r="O650"/>
  <c r="O661"/>
  <c r="O662"/>
  <c r="O663"/>
  <c r="O665"/>
  <c r="AE650"/>
  <c r="AE661"/>
  <c r="AE662"/>
  <c r="AE663"/>
  <c r="AE665"/>
  <c r="AB611"/>
  <c r="AC650"/>
  <c r="AC661"/>
  <c r="AC662"/>
  <c r="AC663"/>
  <c r="AC665"/>
  <c r="E108" i="4"/>
  <c r="L108"/>
  <c r="E108" i="2"/>
  <c r="L108"/>
  <c r="H502"/>
  <c r="G501"/>
  <c r="AB505"/>
  <c r="W505"/>
  <c r="M505"/>
  <c r="AC505"/>
  <c r="R505"/>
  <c r="S505"/>
  <c r="P505"/>
  <c r="H548"/>
  <c r="G547"/>
  <c r="G499"/>
  <c r="E107"/>
  <c r="L107"/>
  <c r="O107"/>
  <c r="O109"/>
  <c r="P109"/>
  <c r="T665"/>
  <c r="I665"/>
  <c r="H549"/>
  <c r="G548"/>
  <c r="H503"/>
  <c r="G502"/>
  <c r="AB615"/>
  <c r="AB616"/>
  <c r="AB617"/>
  <c r="AB613"/>
  <c r="T615"/>
  <c r="T616"/>
  <c r="T617"/>
  <c r="T613"/>
  <c r="N615"/>
  <c r="N616"/>
  <c r="N617"/>
  <c r="N613"/>
  <c r="P615"/>
  <c r="P616"/>
  <c r="P617"/>
  <c r="P613"/>
  <c r="H615"/>
  <c r="H613"/>
  <c r="G611"/>
  <c r="M615"/>
  <c r="M616"/>
  <c r="M617"/>
  <c r="M613"/>
  <c r="U615"/>
  <c r="U616"/>
  <c r="U617"/>
  <c r="U613"/>
  <c r="W615"/>
  <c r="W616"/>
  <c r="W617"/>
  <c r="W613"/>
  <c r="Z615"/>
  <c r="Z616"/>
  <c r="Z617"/>
  <c r="Z613"/>
  <c r="Q615"/>
  <c r="Q616"/>
  <c r="Q617"/>
  <c r="Q613"/>
  <c r="S615"/>
  <c r="S616"/>
  <c r="S617"/>
  <c r="S613"/>
  <c r="V615"/>
  <c r="V616"/>
  <c r="V617"/>
  <c r="V613"/>
  <c r="R615"/>
  <c r="R616"/>
  <c r="R617"/>
  <c r="R613"/>
  <c r="G637"/>
  <c r="G643"/>
  <c r="J615"/>
  <c r="J616"/>
  <c r="J617"/>
  <c r="J613"/>
  <c r="H661"/>
  <c r="G650"/>
  <c r="L615"/>
  <c r="L616"/>
  <c r="L617"/>
  <c r="L613"/>
  <c r="AC615"/>
  <c r="AC616"/>
  <c r="AC617"/>
  <c r="AC613"/>
  <c r="I615"/>
  <c r="I616"/>
  <c r="I617"/>
  <c r="I613"/>
  <c r="AE615"/>
  <c r="AE616"/>
  <c r="AE617"/>
  <c r="AE613"/>
  <c r="O615"/>
  <c r="O616"/>
  <c r="O617"/>
  <c r="O613"/>
  <c r="Y615"/>
  <c r="Y616"/>
  <c r="Y617"/>
  <c r="Y613"/>
  <c r="AD615"/>
  <c r="AD616"/>
  <c r="AD617"/>
  <c r="AD613"/>
  <c r="AA615"/>
  <c r="AA616"/>
  <c r="AA617"/>
  <c r="AA613"/>
  <c r="X615"/>
  <c r="X616"/>
  <c r="X617"/>
  <c r="X613"/>
  <c r="K615"/>
  <c r="K616"/>
  <c r="K617"/>
  <c r="K613"/>
  <c r="G657"/>
  <c r="G598"/>
  <c r="G601"/>
  <c r="W20"/>
  <c r="V20"/>
  <c r="U20"/>
  <c r="T20"/>
  <c r="R619"/>
  <c r="V619"/>
  <c r="S619"/>
  <c r="Q619"/>
  <c r="Z619"/>
  <c r="W619"/>
  <c r="U619"/>
  <c r="M619"/>
  <c r="K619"/>
  <c r="X619"/>
  <c r="AA619"/>
  <c r="AD619"/>
  <c r="Y619"/>
  <c r="O619"/>
  <c r="AE619"/>
  <c r="I619"/>
  <c r="AC619"/>
  <c r="L619"/>
  <c r="J619"/>
  <c r="AC885"/>
  <c r="AC865"/>
  <c r="Y826"/>
  <c r="U885"/>
  <c r="U865"/>
  <c r="Q826"/>
  <c r="M885"/>
  <c r="M865"/>
  <c r="I885"/>
  <c r="AB865"/>
  <c r="AB885"/>
  <c r="AB826"/>
  <c r="L865"/>
  <c r="L826"/>
  <c r="AD865"/>
  <c r="AD885"/>
  <c r="AD826"/>
  <c r="N885"/>
  <c r="AE885"/>
  <c r="AE865"/>
  <c r="AA826"/>
  <c r="W885"/>
  <c r="W865"/>
  <c r="S826"/>
  <c r="O885"/>
  <c r="O865"/>
  <c r="K826"/>
  <c r="P865"/>
  <c r="P826"/>
  <c r="V865"/>
  <c r="V885"/>
  <c r="V826"/>
  <c r="J885"/>
  <c r="R865"/>
  <c r="R826"/>
  <c r="AC826"/>
  <c r="Y885"/>
  <c r="Y865"/>
  <c r="U826"/>
  <c r="Q885"/>
  <c r="Q865"/>
  <c r="M826"/>
  <c r="I865"/>
  <c r="I826"/>
  <c r="T865"/>
  <c r="T885"/>
  <c r="T826"/>
  <c r="L885"/>
  <c r="N865"/>
  <c r="N826"/>
  <c r="Z865"/>
  <c r="Z885"/>
  <c r="Z826"/>
  <c r="AE826"/>
  <c r="AA885"/>
  <c r="AA865"/>
  <c r="W826"/>
  <c r="S885"/>
  <c r="S865"/>
  <c r="O826"/>
  <c r="K885"/>
  <c r="K865"/>
  <c r="X865"/>
  <c r="X885"/>
  <c r="X826"/>
  <c r="P885"/>
  <c r="H865"/>
  <c r="H885"/>
  <c r="H826"/>
  <c r="J865"/>
  <c r="J826"/>
  <c r="R885"/>
  <c r="H839"/>
  <c r="V839"/>
  <c r="X839"/>
  <c r="O839"/>
  <c r="W839"/>
  <c r="AE839"/>
  <c r="N839"/>
  <c r="AD878"/>
  <c r="AD889"/>
  <c r="AD890"/>
  <c r="AD891"/>
  <c r="AD893"/>
  <c r="T839"/>
  <c r="I839"/>
  <c r="M839"/>
  <c r="U839"/>
  <c r="AC839"/>
  <c r="J878"/>
  <c r="J889"/>
  <c r="J890"/>
  <c r="J891"/>
  <c r="P839"/>
  <c r="K839"/>
  <c r="S839"/>
  <c r="AA839"/>
  <c r="Z839"/>
  <c r="N878"/>
  <c r="N889"/>
  <c r="N890"/>
  <c r="N891"/>
  <c r="N893"/>
  <c r="T878"/>
  <c r="T889"/>
  <c r="T890"/>
  <c r="T891"/>
  <c r="T893"/>
  <c r="Q839"/>
  <c r="Y839"/>
  <c r="K878"/>
  <c r="K889"/>
  <c r="K890"/>
  <c r="K891"/>
  <c r="AA878"/>
  <c r="AA889"/>
  <c r="AA890"/>
  <c r="AA891"/>
  <c r="AA893"/>
  <c r="Z878"/>
  <c r="Z889"/>
  <c r="Z890"/>
  <c r="Z891"/>
  <c r="Z893"/>
  <c r="L839"/>
  <c r="Y878"/>
  <c r="Y889"/>
  <c r="Y890"/>
  <c r="Y891"/>
  <c r="Y893"/>
  <c r="R878"/>
  <c r="R889"/>
  <c r="R890"/>
  <c r="R891"/>
  <c r="R893"/>
  <c r="J839"/>
  <c r="V878"/>
  <c r="V889"/>
  <c r="V890"/>
  <c r="V891"/>
  <c r="V893"/>
  <c r="P878"/>
  <c r="P889"/>
  <c r="P890"/>
  <c r="P891"/>
  <c r="P893"/>
  <c r="O878"/>
  <c r="O889"/>
  <c r="O890"/>
  <c r="O891"/>
  <c r="O893"/>
  <c r="W878"/>
  <c r="W889"/>
  <c r="W890"/>
  <c r="W891"/>
  <c r="W893"/>
  <c r="AE878"/>
  <c r="AE889"/>
  <c r="AE890"/>
  <c r="AE891"/>
  <c r="AE893"/>
  <c r="AD839"/>
  <c r="L878"/>
  <c r="L889"/>
  <c r="L890"/>
  <c r="L891"/>
  <c r="L893"/>
  <c r="AB878"/>
  <c r="AB889"/>
  <c r="AB890"/>
  <c r="AB891"/>
  <c r="AB893"/>
  <c r="I878"/>
  <c r="I889"/>
  <c r="I890"/>
  <c r="I891"/>
  <c r="I893"/>
  <c r="M878"/>
  <c r="M889"/>
  <c r="M890"/>
  <c r="M891"/>
  <c r="M893"/>
  <c r="U878"/>
  <c r="U889"/>
  <c r="U890"/>
  <c r="U891"/>
  <c r="U893"/>
  <c r="AC878"/>
  <c r="AC889"/>
  <c r="AC890"/>
  <c r="AC891"/>
  <c r="AC893"/>
  <c r="H878"/>
  <c r="R839"/>
  <c r="X878"/>
  <c r="X889"/>
  <c r="X890"/>
  <c r="X891"/>
  <c r="X893"/>
  <c r="S878"/>
  <c r="S889"/>
  <c r="S890"/>
  <c r="S891"/>
  <c r="S893"/>
  <c r="AB839"/>
  <c r="Q878"/>
  <c r="Q889"/>
  <c r="Q890"/>
  <c r="Q891"/>
  <c r="Q893"/>
  <c r="H662"/>
  <c r="G661"/>
  <c r="AC771"/>
  <c r="AC751"/>
  <c r="Y712"/>
  <c r="U771"/>
  <c r="U751"/>
  <c r="Q712"/>
  <c r="M771"/>
  <c r="M751"/>
  <c r="I712"/>
  <c r="AB712"/>
  <c r="T771"/>
  <c r="T751"/>
  <c r="L712"/>
  <c r="V771"/>
  <c r="V751"/>
  <c r="R771"/>
  <c r="R751"/>
  <c r="Z712"/>
  <c r="AE771"/>
  <c r="AE751"/>
  <c r="AA712"/>
  <c r="W771"/>
  <c r="W751"/>
  <c r="S712"/>
  <c r="O771"/>
  <c r="O751"/>
  <c r="K712"/>
  <c r="X771"/>
  <c r="X751"/>
  <c r="P712"/>
  <c r="H771"/>
  <c r="H751"/>
  <c r="AD712"/>
  <c r="N771"/>
  <c r="N751"/>
  <c r="J712"/>
  <c r="AC712"/>
  <c r="Y771"/>
  <c r="Y751"/>
  <c r="U712"/>
  <c r="Q771"/>
  <c r="Q751"/>
  <c r="M712"/>
  <c r="I771"/>
  <c r="I751"/>
  <c r="AB771"/>
  <c r="AB751"/>
  <c r="T712"/>
  <c r="L771"/>
  <c r="L751"/>
  <c r="V712"/>
  <c r="R712"/>
  <c r="Z771"/>
  <c r="Z751"/>
  <c r="AE712"/>
  <c r="AA771"/>
  <c r="AA751"/>
  <c r="W712"/>
  <c r="S771"/>
  <c r="S751"/>
  <c r="O712"/>
  <c r="K771"/>
  <c r="K751"/>
  <c r="X712"/>
  <c r="P771"/>
  <c r="P751"/>
  <c r="H712"/>
  <c r="AD771"/>
  <c r="AD751"/>
  <c r="N712"/>
  <c r="J771"/>
  <c r="J751"/>
  <c r="J764"/>
  <c r="J775"/>
  <c r="J776"/>
  <c r="J777"/>
  <c r="J779"/>
  <c r="AD725"/>
  <c r="P764"/>
  <c r="P775"/>
  <c r="P776"/>
  <c r="P777"/>
  <c r="P779"/>
  <c r="K725"/>
  <c r="S725"/>
  <c r="AA725"/>
  <c r="Z725"/>
  <c r="L764"/>
  <c r="L775"/>
  <c r="L776"/>
  <c r="L777"/>
  <c r="AB764"/>
  <c r="AB775"/>
  <c r="AB776"/>
  <c r="AB777"/>
  <c r="I725"/>
  <c r="Q725"/>
  <c r="Y725"/>
  <c r="H764"/>
  <c r="N764"/>
  <c r="N775"/>
  <c r="N776"/>
  <c r="N777"/>
  <c r="N779"/>
  <c r="X764"/>
  <c r="X775"/>
  <c r="X776"/>
  <c r="X777"/>
  <c r="X779"/>
  <c r="O725"/>
  <c r="W725"/>
  <c r="AE725"/>
  <c r="R725"/>
  <c r="V725"/>
  <c r="T764"/>
  <c r="T775"/>
  <c r="T776"/>
  <c r="T777"/>
  <c r="T779"/>
  <c r="M725"/>
  <c r="U725"/>
  <c r="AC725"/>
  <c r="W764"/>
  <c r="W775"/>
  <c r="W776"/>
  <c r="W777"/>
  <c r="W779"/>
  <c r="V764"/>
  <c r="V775"/>
  <c r="V776"/>
  <c r="V777"/>
  <c r="V779"/>
  <c r="T725"/>
  <c r="M764"/>
  <c r="M775"/>
  <c r="M776"/>
  <c r="M777"/>
  <c r="M779"/>
  <c r="AC764"/>
  <c r="AC775"/>
  <c r="AC776"/>
  <c r="AC777"/>
  <c r="AC779"/>
  <c r="J725"/>
  <c r="AD764"/>
  <c r="AD775"/>
  <c r="AD776"/>
  <c r="AD777"/>
  <c r="AD779"/>
  <c r="P725"/>
  <c r="K764"/>
  <c r="K775"/>
  <c r="K776"/>
  <c r="K777"/>
  <c r="K779"/>
  <c r="S764"/>
  <c r="S775"/>
  <c r="S776"/>
  <c r="S777"/>
  <c r="S779"/>
  <c r="AA764"/>
  <c r="AA775"/>
  <c r="AA776"/>
  <c r="AA777"/>
  <c r="AA779"/>
  <c r="Z764"/>
  <c r="Z775"/>
  <c r="Z776"/>
  <c r="Z777"/>
  <c r="Z779"/>
  <c r="L725"/>
  <c r="AB725"/>
  <c r="I764"/>
  <c r="I775"/>
  <c r="I776"/>
  <c r="I777"/>
  <c r="I779"/>
  <c r="Q764"/>
  <c r="Q775"/>
  <c r="Q776"/>
  <c r="Q777"/>
  <c r="Q779"/>
  <c r="Y764"/>
  <c r="Y775"/>
  <c r="Y776"/>
  <c r="Y777"/>
  <c r="Y779"/>
  <c r="H725"/>
  <c r="N725"/>
  <c r="X725"/>
  <c r="O764"/>
  <c r="O775"/>
  <c r="O776"/>
  <c r="O777"/>
  <c r="O779"/>
  <c r="AE764"/>
  <c r="AE775"/>
  <c r="AE776"/>
  <c r="AE777"/>
  <c r="AE779"/>
  <c r="R764"/>
  <c r="R775"/>
  <c r="R776"/>
  <c r="R777"/>
  <c r="R779"/>
  <c r="U764"/>
  <c r="U775"/>
  <c r="U776"/>
  <c r="U777"/>
  <c r="U779"/>
  <c r="AD979"/>
  <c r="AD999"/>
  <c r="AD940"/>
  <c r="V979"/>
  <c r="V999"/>
  <c r="V940"/>
  <c r="AC979"/>
  <c r="U999"/>
  <c r="U940"/>
  <c r="Q979"/>
  <c r="M999"/>
  <c r="M940"/>
  <c r="I940"/>
  <c r="T979"/>
  <c r="L999"/>
  <c r="L940"/>
  <c r="W979"/>
  <c r="AE979"/>
  <c r="AB999"/>
  <c r="AB940"/>
  <c r="X979"/>
  <c r="Y999"/>
  <c r="Y940"/>
  <c r="S979"/>
  <c r="O999"/>
  <c r="O940"/>
  <c r="K979"/>
  <c r="AA999"/>
  <c r="AA940"/>
  <c r="P999"/>
  <c r="P940"/>
  <c r="H979"/>
  <c r="N979"/>
  <c r="N999"/>
  <c r="N940"/>
  <c r="J940"/>
  <c r="Z979"/>
  <c r="Z999"/>
  <c r="Z940"/>
  <c r="AC999"/>
  <c r="AC940"/>
  <c r="U979"/>
  <c r="Q999"/>
  <c r="Q940"/>
  <c r="M979"/>
  <c r="I999"/>
  <c r="I979"/>
  <c r="T999"/>
  <c r="T940"/>
  <c r="L979"/>
  <c r="W999"/>
  <c r="W940"/>
  <c r="AE999"/>
  <c r="AE940"/>
  <c r="AB979"/>
  <c r="X999"/>
  <c r="X940"/>
  <c r="Y979"/>
  <c r="S999"/>
  <c r="S940"/>
  <c r="O979"/>
  <c r="K999"/>
  <c r="K940"/>
  <c r="AA979"/>
  <c r="P979"/>
  <c r="H999"/>
  <c r="H940"/>
  <c r="R979"/>
  <c r="R999"/>
  <c r="R940"/>
  <c r="J979"/>
  <c r="J999"/>
  <c r="J953"/>
  <c r="R992"/>
  <c r="R1003"/>
  <c r="R1004"/>
  <c r="R1005"/>
  <c r="P953"/>
  <c r="K992"/>
  <c r="K1003"/>
  <c r="K1004"/>
  <c r="K1005"/>
  <c r="K1007"/>
  <c r="S992"/>
  <c r="S1003"/>
  <c r="S1004"/>
  <c r="S1005"/>
  <c r="S1007"/>
  <c r="AB953"/>
  <c r="L953"/>
  <c r="I953"/>
  <c r="M953"/>
  <c r="U953"/>
  <c r="Z953"/>
  <c r="N953"/>
  <c r="P992"/>
  <c r="P1003"/>
  <c r="P1004"/>
  <c r="P1005"/>
  <c r="P1007"/>
  <c r="K953"/>
  <c r="S953"/>
  <c r="AB992"/>
  <c r="AB1003"/>
  <c r="AB1004"/>
  <c r="AB1005"/>
  <c r="AB1007"/>
  <c r="AE953"/>
  <c r="L992"/>
  <c r="L1003"/>
  <c r="L1004"/>
  <c r="L1005"/>
  <c r="L1007"/>
  <c r="M992"/>
  <c r="M1003"/>
  <c r="M1004"/>
  <c r="M1005"/>
  <c r="M1007"/>
  <c r="U992"/>
  <c r="U1003"/>
  <c r="U1004"/>
  <c r="U1005"/>
  <c r="U1007"/>
  <c r="V953"/>
  <c r="AD953"/>
  <c r="Y992"/>
  <c r="Y1003"/>
  <c r="Y1004"/>
  <c r="Y1005"/>
  <c r="Y1007"/>
  <c r="T953"/>
  <c r="AC953"/>
  <c r="V992"/>
  <c r="V1003"/>
  <c r="V1004"/>
  <c r="V1005"/>
  <c r="V1007"/>
  <c r="AD992"/>
  <c r="AD1003"/>
  <c r="AD1004"/>
  <c r="AD1005"/>
  <c r="AD1007"/>
  <c r="H992"/>
  <c r="J992"/>
  <c r="J1003"/>
  <c r="J1004"/>
  <c r="J1005"/>
  <c r="J1007"/>
  <c r="R953"/>
  <c r="AA953"/>
  <c r="O953"/>
  <c r="Y953"/>
  <c r="X992"/>
  <c r="X1003"/>
  <c r="X1004"/>
  <c r="X1005"/>
  <c r="X1007"/>
  <c r="AE992"/>
  <c r="AE1003"/>
  <c r="AE1004"/>
  <c r="AE1005"/>
  <c r="AE1007"/>
  <c r="W992"/>
  <c r="W1003"/>
  <c r="W1004"/>
  <c r="W1005"/>
  <c r="W1007"/>
  <c r="T992"/>
  <c r="T1003"/>
  <c r="T1004"/>
  <c r="T1005"/>
  <c r="T1007"/>
  <c r="I992"/>
  <c r="I1003"/>
  <c r="I1004"/>
  <c r="I1005"/>
  <c r="I1007"/>
  <c r="Q992"/>
  <c r="Q1003"/>
  <c r="Q1004"/>
  <c r="Q1005"/>
  <c r="Q1007"/>
  <c r="AC992"/>
  <c r="AC1003"/>
  <c r="AC1004"/>
  <c r="AC1005"/>
  <c r="AC1007"/>
  <c r="Z992"/>
  <c r="Z1003"/>
  <c r="Z1004"/>
  <c r="Z1005"/>
  <c r="Z1007"/>
  <c r="H953"/>
  <c r="N992"/>
  <c r="N1003"/>
  <c r="N1004"/>
  <c r="N1005"/>
  <c r="N1007"/>
  <c r="AA992"/>
  <c r="AA1003"/>
  <c r="AA1004"/>
  <c r="AA1005"/>
  <c r="AA1007"/>
  <c r="O992"/>
  <c r="O1003"/>
  <c r="O1004"/>
  <c r="O1005"/>
  <c r="O1007"/>
  <c r="X953"/>
  <c r="W953"/>
  <c r="Q953"/>
  <c r="H616"/>
  <c r="G615"/>
  <c r="H505"/>
  <c r="G505"/>
  <c r="G503"/>
  <c r="G549"/>
  <c r="H551"/>
  <c r="G551"/>
  <c r="P619"/>
  <c r="N619"/>
  <c r="T619"/>
  <c r="AB619"/>
  <c r="R1113"/>
  <c r="R1093"/>
  <c r="R1054"/>
  <c r="AC1054"/>
  <c r="AC1113"/>
  <c r="AC1093"/>
  <c r="M1054"/>
  <c r="M1113"/>
  <c r="M1093"/>
  <c r="AA1054"/>
  <c r="K1113"/>
  <c r="K1093"/>
  <c r="AE1054"/>
  <c r="W1054"/>
  <c r="V1113"/>
  <c r="V1093"/>
  <c r="V1054"/>
  <c r="AB1113"/>
  <c r="AB1093"/>
  <c r="AB1054"/>
  <c r="T1113"/>
  <c r="T1093"/>
  <c r="T1054"/>
  <c r="L1113"/>
  <c r="L1093"/>
  <c r="L1054"/>
  <c r="Q1054"/>
  <c r="Q1113"/>
  <c r="Q1093"/>
  <c r="S1113"/>
  <c r="S1093"/>
  <c r="O1054"/>
  <c r="Z1113"/>
  <c r="Z1093"/>
  <c r="Z1054"/>
  <c r="J1113"/>
  <c r="J1093"/>
  <c r="J1054"/>
  <c r="U1054"/>
  <c r="U1113"/>
  <c r="U1093"/>
  <c r="AA1113"/>
  <c r="AA1093"/>
  <c r="K1054"/>
  <c r="AE1113"/>
  <c r="AE1093"/>
  <c r="W1113"/>
  <c r="W1093"/>
  <c r="N1113"/>
  <c r="N1093"/>
  <c r="N1054"/>
  <c r="X1113"/>
  <c r="X1093"/>
  <c r="X1054"/>
  <c r="P1113"/>
  <c r="P1093"/>
  <c r="P1054"/>
  <c r="H1113"/>
  <c r="H1093"/>
  <c r="H1054"/>
  <c r="Y1054"/>
  <c r="Y1113"/>
  <c r="Y1093"/>
  <c r="I1054"/>
  <c r="I1113"/>
  <c r="I1093"/>
  <c r="S1054"/>
  <c r="O1113"/>
  <c r="O1093"/>
  <c r="AD1113"/>
  <c r="AD1093"/>
  <c r="AD1054"/>
  <c r="AD1106"/>
  <c r="AD1117"/>
  <c r="AD1118"/>
  <c r="AD1119"/>
  <c r="O1067"/>
  <c r="I1106"/>
  <c r="I1117"/>
  <c r="I1118"/>
  <c r="I1119"/>
  <c r="I1121"/>
  <c r="Y1106"/>
  <c r="Y1117"/>
  <c r="Y1118"/>
  <c r="Y1119"/>
  <c r="Y1121"/>
  <c r="P1106"/>
  <c r="P1117"/>
  <c r="P1118"/>
  <c r="P1119"/>
  <c r="P1121"/>
  <c r="X1106"/>
  <c r="X1117"/>
  <c r="X1118"/>
  <c r="X1119"/>
  <c r="X1121"/>
  <c r="N1106"/>
  <c r="N1117"/>
  <c r="N1118"/>
  <c r="N1119"/>
  <c r="N1121"/>
  <c r="W1067"/>
  <c r="AE1067"/>
  <c r="AA1067"/>
  <c r="M1067"/>
  <c r="AC1067"/>
  <c r="J1106"/>
  <c r="J1117"/>
  <c r="J1118"/>
  <c r="J1119"/>
  <c r="J1121"/>
  <c r="Z1106"/>
  <c r="Z1117"/>
  <c r="Z1118"/>
  <c r="Z1119"/>
  <c r="S1067"/>
  <c r="I1067"/>
  <c r="Y1067"/>
  <c r="L1067"/>
  <c r="T1067"/>
  <c r="AB1067"/>
  <c r="V1067"/>
  <c r="K1067"/>
  <c r="M1106"/>
  <c r="M1117"/>
  <c r="M1118"/>
  <c r="M1119"/>
  <c r="M1121"/>
  <c r="AC1106"/>
  <c r="AC1117"/>
  <c r="AC1118"/>
  <c r="AC1119"/>
  <c r="AC1121"/>
  <c r="R1106"/>
  <c r="R1117"/>
  <c r="R1118"/>
  <c r="R1119"/>
  <c r="R1121"/>
  <c r="Q1106"/>
  <c r="Q1117"/>
  <c r="Q1118"/>
  <c r="Q1119"/>
  <c r="Q1121"/>
  <c r="L1106"/>
  <c r="L1117"/>
  <c r="L1118"/>
  <c r="L1119"/>
  <c r="L1121"/>
  <c r="T1106"/>
  <c r="T1117"/>
  <c r="T1118"/>
  <c r="T1119"/>
  <c r="T1121"/>
  <c r="V1106"/>
  <c r="V1117"/>
  <c r="V1118"/>
  <c r="V1119"/>
  <c r="V1121"/>
  <c r="H1067"/>
  <c r="H1106"/>
  <c r="AD1067"/>
  <c r="O1106"/>
  <c r="O1117"/>
  <c r="O1118"/>
  <c r="O1119"/>
  <c r="O1121"/>
  <c r="Q1067"/>
  <c r="P1067"/>
  <c r="X1067"/>
  <c r="N1067"/>
  <c r="W1106"/>
  <c r="W1117"/>
  <c r="W1118"/>
  <c r="W1119"/>
  <c r="W1121"/>
  <c r="AE1106"/>
  <c r="AE1117"/>
  <c r="AE1118"/>
  <c r="AE1119"/>
  <c r="AE1121"/>
  <c r="AA1106"/>
  <c r="AA1117"/>
  <c r="AA1118"/>
  <c r="AA1119"/>
  <c r="AA1121"/>
  <c r="U1106"/>
  <c r="U1117"/>
  <c r="U1118"/>
  <c r="U1119"/>
  <c r="U1121"/>
  <c r="J1067"/>
  <c r="Z1067"/>
  <c r="S1106"/>
  <c r="S1117"/>
  <c r="S1118"/>
  <c r="S1119"/>
  <c r="S1121"/>
  <c r="AB1106"/>
  <c r="AB1117"/>
  <c r="AB1118"/>
  <c r="AB1119"/>
  <c r="AB1121"/>
  <c r="K1106"/>
  <c r="K1117"/>
  <c r="K1118"/>
  <c r="K1119"/>
  <c r="K1121"/>
  <c r="U1067"/>
  <c r="R1067"/>
  <c r="G613"/>
  <c r="P110"/>
  <c r="O110"/>
  <c r="Z1121"/>
  <c r="L779"/>
  <c r="K893"/>
  <c r="J893"/>
  <c r="G517"/>
  <c r="G518"/>
  <c r="R1007"/>
  <c r="U1069"/>
  <c r="U1071"/>
  <c r="U1072"/>
  <c r="U1073"/>
  <c r="Z1071"/>
  <c r="Z1072"/>
  <c r="Z1073"/>
  <c r="Z1069"/>
  <c r="N1071"/>
  <c r="N1072"/>
  <c r="N1073"/>
  <c r="N1069"/>
  <c r="P1071"/>
  <c r="P1072"/>
  <c r="P1073"/>
  <c r="P1069"/>
  <c r="H1117"/>
  <c r="G1106"/>
  <c r="V1071"/>
  <c r="V1072"/>
  <c r="V1073"/>
  <c r="V1069"/>
  <c r="T1071"/>
  <c r="T1072"/>
  <c r="T1073"/>
  <c r="T1069"/>
  <c r="Y1069"/>
  <c r="Y1071"/>
  <c r="Y1072"/>
  <c r="Y1073"/>
  <c r="S1071"/>
  <c r="S1072"/>
  <c r="S1073"/>
  <c r="S1069"/>
  <c r="M1069"/>
  <c r="M1071"/>
  <c r="M1072"/>
  <c r="M1073"/>
  <c r="AE1071"/>
  <c r="AE1072"/>
  <c r="AE1073"/>
  <c r="AE1069"/>
  <c r="H617"/>
  <c r="G616"/>
  <c r="W957"/>
  <c r="W958"/>
  <c r="W959"/>
  <c r="W955"/>
  <c r="Y957"/>
  <c r="Y958"/>
  <c r="Y959"/>
  <c r="Y955"/>
  <c r="AA957"/>
  <c r="AA958"/>
  <c r="AA959"/>
  <c r="AA955"/>
  <c r="AC957"/>
  <c r="AC958"/>
  <c r="AC959"/>
  <c r="AC955"/>
  <c r="V957"/>
  <c r="V958"/>
  <c r="V959"/>
  <c r="V955"/>
  <c r="AE957"/>
  <c r="AE958"/>
  <c r="AE959"/>
  <c r="AE955"/>
  <c r="S957"/>
  <c r="S958"/>
  <c r="S959"/>
  <c r="S955"/>
  <c r="Z957"/>
  <c r="Z958"/>
  <c r="Z959"/>
  <c r="Z955"/>
  <c r="M957"/>
  <c r="M958"/>
  <c r="M959"/>
  <c r="M955"/>
  <c r="L957"/>
  <c r="L958"/>
  <c r="L959"/>
  <c r="L955"/>
  <c r="P957"/>
  <c r="P958"/>
  <c r="P959"/>
  <c r="P955"/>
  <c r="J957"/>
  <c r="J958"/>
  <c r="J959"/>
  <c r="J955"/>
  <c r="N727"/>
  <c r="N729"/>
  <c r="N730"/>
  <c r="N731"/>
  <c r="L727"/>
  <c r="L729"/>
  <c r="L730"/>
  <c r="L731"/>
  <c r="T727"/>
  <c r="T729"/>
  <c r="T730"/>
  <c r="T731"/>
  <c r="U729"/>
  <c r="U730"/>
  <c r="U731"/>
  <c r="U727"/>
  <c r="R727"/>
  <c r="R729"/>
  <c r="R730"/>
  <c r="R731"/>
  <c r="W729"/>
  <c r="W730"/>
  <c r="W731"/>
  <c r="W727"/>
  <c r="H775"/>
  <c r="G764"/>
  <c r="Q729"/>
  <c r="Q730"/>
  <c r="Q731"/>
  <c r="Q727"/>
  <c r="Z727"/>
  <c r="Z729"/>
  <c r="Z730"/>
  <c r="Z731"/>
  <c r="S729"/>
  <c r="S730"/>
  <c r="S731"/>
  <c r="S727"/>
  <c r="H663"/>
  <c r="G662"/>
  <c r="AB841"/>
  <c r="AB843"/>
  <c r="AB844"/>
  <c r="AB845"/>
  <c r="H889"/>
  <c r="G878"/>
  <c r="L841"/>
  <c r="L843"/>
  <c r="L844"/>
  <c r="L845"/>
  <c r="Y843"/>
  <c r="Y844"/>
  <c r="Y845"/>
  <c r="Y841"/>
  <c r="Z841"/>
  <c r="Z843"/>
  <c r="Z844"/>
  <c r="Z845"/>
  <c r="S843"/>
  <c r="S844"/>
  <c r="S845"/>
  <c r="S841"/>
  <c r="P841"/>
  <c r="P843"/>
  <c r="P844"/>
  <c r="P845"/>
  <c r="AC843"/>
  <c r="AC844"/>
  <c r="AC845"/>
  <c r="AC841"/>
  <c r="M843"/>
  <c r="M844"/>
  <c r="M845"/>
  <c r="M841"/>
  <c r="T841"/>
  <c r="T843"/>
  <c r="T844"/>
  <c r="T845"/>
  <c r="N841"/>
  <c r="N843"/>
  <c r="N844"/>
  <c r="N845"/>
  <c r="W843"/>
  <c r="W844"/>
  <c r="W845"/>
  <c r="W841"/>
  <c r="X841"/>
  <c r="X843"/>
  <c r="X844"/>
  <c r="X845"/>
  <c r="H843"/>
  <c r="G839"/>
  <c r="H841"/>
  <c r="AD1121"/>
  <c r="G1093"/>
  <c r="G1099"/>
  <c r="G561"/>
  <c r="G562"/>
  <c r="G940"/>
  <c r="G943"/>
  <c r="AB779"/>
  <c r="G712"/>
  <c r="G715"/>
  <c r="G771"/>
  <c r="G826"/>
  <c r="G829"/>
  <c r="G865"/>
  <c r="G871"/>
  <c r="R1071"/>
  <c r="R1072"/>
  <c r="R1073"/>
  <c r="R1069"/>
  <c r="J1071"/>
  <c r="J1072"/>
  <c r="J1073"/>
  <c r="J1069"/>
  <c r="X1071"/>
  <c r="X1072"/>
  <c r="X1073"/>
  <c r="X1069"/>
  <c r="Q1069"/>
  <c r="Q1071"/>
  <c r="Q1072"/>
  <c r="Q1073"/>
  <c r="AD1071"/>
  <c r="AD1072"/>
  <c r="AD1073"/>
  <c r="AD1069"/>
  <c r="H1071"/>
  <c r="H1069"/>
  <c r="G1067"/>
  <c r="K1071"/>
  <c r="K1072"/>
  <c r="K1073"/>
  <c r="K1069"/>
  <c r="AB1071"/>
  <c r="AB1072"/>
  <c r="AB1073"/>
  <c r="AB1069"/>
  <c r="L1071"/>
  <c r="L1072"/>
  <c r="L1073"/>
  <c r="L1069"/>
  <c r="I1069"/>
  <c r="I1071"/>
  <c r="I1072"/>
  <c r="I1073"/>
  <c r="AC1069"/>
  <c r="AC1071"/>
  <c r="AC1072"/>
  <c r="AC1073"/>
  <c r="AA1071"/>
  <c r="AA1072"/>
  <c r="AA1073"/>
  <c r="AA1069"/>
  <c r="W1071"/>
  <c r="W1072"/>
  <c r="W1073"/>
  <c r="W1069"/>
  <c r="O1071"/>
  <c r="O1072"/>
  <c r="O1073"/>
  <c r="O1069"/>
  <c r="E109" i="4"/>
  <c r="L109"/>
  <c r="E109" i="2"/>
  <c r="L109"/>
  <c r="Q957"/>
  <c r="Q958"/>
  <c r="Q959"/>
  <c r="Q955"/>
  <c r="X957"/>
  <c r="X958"/>
  <c r="X959"/>
  <c r="X955"/>
  <c r="H957"/>
  <c r="H955"/>
  <c r="G953"/>
  <c r="O957"/>
  <c r="O958"/>
  <c r="O959"/>
  <c r="O955"/>
  <c r="R957"/>
  <c r="R958"/>
  <c r="R959"/>
  <c r="R955"/>
  <c r="H1003"/>
  <c r="G992"/>
  <c r="T957"/>
  <c r="T958"/>
  <c r="T959"/>
  <c r="T955"/>
  <c r="AD957"/>
  <c r="AD958"/>
  <c r="AD959"/>
  <c r="AD955"/>
  <c r="K957"/>
  <c r="K958"/>
  <c r="K959"/>
  <c r="K955"/>
  <c r="N957"/>
  <c r="N958"/>
  <c r="N959"/>
  <c r="N955"/>
  <c r="U957"/>
  <c r="U958"/>
  <c r="U959"/>
  <c r="U955"/>
  <c r="I957"/>
  <c r="I958"/>
  <c r="I959"/>
  <c r="I955"/>
  <c r="AB957"/>
  <c r="AB958"/>
  <c r="AB959"/>
  <c r="AB955"/>
  <c r="X727"/>
  <c r="X729"/>
  <c r="X730"/>
  <c r="X731"/>
  <c r="H729"/>
  <c r="H727"/>
  <c r="G725"/>
  <c r="AB727"/>
  <c r="AB729"/>
  <c r="AB730"/>
  <c r="AB731"/>
  <c r="P727"/>
  <c r="P729"/>
  <c r="P730"/>
  <c r="P731"/>
  <c r="J727"/>
  <c r="J729"/>
  <c r="J730"/>
  <c r="J731"/>
  <c r="AC729"/>
  <c r="AC730"/>
  <c r="AC731"/>
  <c r="AC727"/>
  <c r="M729"/>
  <c r="M730"/>
  <c r="M731"/>
  <c r="M727"/>
  <c r="V727"/>
  <c r="V729"/>
  <c r="V730"/>
  <c r="V731"/>
  <c r="AE729"/>
  <c r="AE730"/>
  <c r="AE731"/>
  <c r="AE727"/>
  <c r="O729"/>
  <c r="O730"/>
  <c r="O731"/>
  <c r="O727"/>
  <c r="Y729"/>
  <c r="Y730"/>
  <c r="Y731"/>
  <c r="Y727"/>
  <c r="I729"/>
  <c r="I730"/>
  <c r="I731"/>
  <c r="I727"/>
  <c r="AA729"/>
  <c r="AA730"/>
  <c r="AA731"/>
  <c r="AA727"/>
  <c r="K729"/>
  <c r="K730"/>
  <c r="K731"/>
  <c r="K727"/>
  <c r="AD727"/>
  <c r="AD729"/>
  <c r="AD730"/>
  <c r="AD731"/>
  <c r="R841"/>
  <c r="R843"/>
  <c r="R844"/>
  <c r="R845"/>
  <c r="AD841"/>
  <c r="AD843"/>
  <c r="AD844"/>
  <c r="AD845"/>
  <c r="J841"/>
  <c r="J843"/>
  <c r="J844"/>
  <c r="J845"/>
  <c r="Q843"/>
  <c r="Q844"/>
  <c r="Q845"/>
  <c r="Q841"/>
  <c r="AA843"/>
  <c r="AA844"/>
  <c r="AA845"/>
  <c r="AA841"/>
  <c r="K843"/>
  <c r="K844"/>
  <c r="K845"/>
  <c r="K841"/>
  <c r="U843"/>
  <c r="U844"/>
  <c r="U845"/>
  <c r="U841"/>
  <c r="I843"/>
  <c r="I844"/>
  <c r="I845"/>
  <c r="I841"/>
  <c r="AE843"/>
  <c r="AE844"/>
  <c r="AE845"/>
  <c r="AE841"/>
  <c r="O843"/>
  <c r="O844"/>
  <c r="O845"/>
  <c r="O841"/>
  <c r="V841"/>
  <c r="V843"/>
  <c r="V844"/>
  <c r="V845"/>
  <c r="G1054"/>
  <c r="G1057"/>
  <c r="G1113"/>
  <c r="G999"/>
  <c r="G979"/>
  <c r="G985"/>
  <c r="G751"/>
  <c r="G757"/>
  <c r="G885"/>
  <c r="P114"/>
  <c r="V847"/>
  <c r="J847"/>
  <c r="AD847"/>
  <c r="R847"/>
  <c r="AD733"/>
  <c r="V733"/>
  <c r="J733"/>
  <c r="P733"/>
  <c r="AB733"/>
  <c r="AB961"/>
  <c r="I961"/>
  <c r="U961"/>
  <c r="N961"/>
  <c r="K961"/>
  <c r="AD961"/>
  <c r="T961"/>
  <c r="R961"/>
  <c r="O961"/>
  <c r="AC1075"/>
  <c r="I1075"/>
  <c r="AD1075"/>
  <c r="X1075"/>
  <c r="J1075"/>
  <c r="R1075"/>
  <c r="W847"/>
  <c r="M847"/>
  <c r="AC847"/>
  <c r="S847"/>
  <c r="S733"/>
  <c r="Q733"/>
  <c r="J961"/>
  <c r="M1075"/>
  <c r="Y1075"/>
  <c r="U1075"/>
  <c r="Y847"/>
  <c r="W733"/>
  <c r="U733"/>
  <c r="P961"/>
  <c r="L961"/>
  <c r="M961"/>
  <c r="Z961"/>
  <c r="S961"/>
  <c r="H730"/>
  <c r="G729"/>
  <c r="H1004"/>
  <c r="G1003"/>
  <c r="H1072"/>
  <c r="G1071"/>
  <c r="H844"/>
  <c r="G843"/>
  <c r="H890"/>
  <c r="G889"/>
  <c r="G663"/>
  <c r="H665"/>
  <c r="G665"/>
  <c r="H776"/>
  <c r="G775"/>
  <c r="H619"/>
  <c r="G619"/>
  <c r="G617"/>
  <c r="H1118"/>
  <c r="G1117"/>
  <c r="G955"/>
  <c r="G841"/>
  <c r="AE961"/>
  <c r="V961"/>
  <c r="AC961"/>
  <c r="AA961"/>
  <c r="Y961"/>
  <c r="W961"/>
  <c r="AE1075"/>
  <c r="S1075"/>
  <c r="T1075"/>
  <c r="V1075"/>
  <c r="P1075"/>
  <c r="N1075"/>
  <c r="Z1075"/>
  <c r="H958"/>
  <c r="G957"/>
  <c r="G109" i="4"/>
  <c r="M109"/>
  <c r="G109" i="2"/>
  <c r="M109"/>
  <c r="O847"/>
  <c r="AE847"/>
  <c r="I847"/>
  <c r="U847"/>
  <c r="K847"/>
  <c r="AA847"/>
  <c r="Q847"/>
  <c r="K733"/>
  <c r="AA733"/>
  <c r="I733"/>
  <c r="Y733"/>
  <c r="O733"/>
  <c r="AE733"/>
  <c r="M733"/>
  <c r="AC733"/>
  <c r="G727"/>
  <c r="X733"/>
  <c r="X961"/>
  <c r="Q961"/>
  <c r="O1075"/>
  <c r="W1075"/>
  <c r="AA1075"/>
  <c r="L1075"/>
  <c r="AB1075"/>
  <c r="K1075"/>
  <c r="G1069"/>
  <c r="Q1075"/>
  <c r="X847"/>
  <c r="N847"/>
  <c r="T847"/>
  <c r="P847"/>
  <c r="Z847"/>
  <c r="L847"/>
  <c r="AB847"/>
  <c r="Z733"/>
  <c r="R733"/>
  <c r="T733"/>
  <c r="L733"/>
  <c r="N733"/>
  <c r="P113"/>
  <c r="O112"/>
  <c r="O111"/>
  <c r="O113"/>
  <c r="O114"/>
  <c r="P111"/>
  <c r="P112"/>
  <c r="G631"/>
  <c r="G632"/>
  <c r="O115"/>
  <c r="H1119"/>
  <c r="G1118"/>
  <c r="H777"/>
  <c r="G776"/>
  <c r="H891"/>
  <c r="G890"/>
  <c r="H845"/>
  <c r="G844"/>
  <c r="H1073"/>
  <c r="G1072"/>
  <c r="H1005"/>
  <c r="G1004"/>
  <c r="H731"/>
  <c r="G730"/>
  <c r="G675"/>
  <c r="G676"/>
  <c r="H959"/>
  <c r="G958"/>
  <c r="E110" i="4"/>
  <c r="L110"/>
  <c r="E110" i="2"/>
  <c r="L110"/>
  <c r="P115"/>
  <c r="V101"/>
  <c r="Z101"/>
  <c r="J24" i="1"/>
  <c r="AB101" i="2"/>
  <c r="L24" i="1"/>
  <c r="G959" i="2"/>
  <c r="H961"/>
  <c r="G961"/>
  <c r="G110"/>
  <c r="M110"/>
  <c r="G110" i="4"/>
  <c r="M110"/>
  <c r="H733" i="2"/>
  <c r="G733"/>
  <c r="G731"/>
  <c r="H1007"/>
  <c r="G1007"/>
  <c r="G1005"/>
  <c r="H1075"/>
  <c r="G1075"/>
  <c r="G1073"/>
  <c r="G845"/>
  <c r="H847"/>
  <c r="G847"/>
  <c r="H893"/>
  <c r="G893"/>
  <c r="G891"/>
  <c r="H779"/>
  <c r="G779"/>
  <c r="G777"/>
  <c r="H1121"/>
  <c r="G1121"/>
  <c r="G1119"/>
  <c r="G434"/>
  <c r="H435"/>
  <c r="G435"/>
  <c r="G1131"/>
  <c r="G1132"/>
  <c r="G114"/>
  <c r="M114"/>
  <c r="G789"/>
  <c r="G790"/>
  <c r="G111" i="4"/>
  <c r="M111"/>
  <c r="G903" i="2"/>
  <c r="G904"/>
  <c r="G112" i="4"/>
  <c r="M112"/>
  <c r="G1087" i="2"/>
  <c r="G1088"/>
  <c r="E114" i="4"/>
  <c r="L114"/>
  <c r="G1017" i="2"/>
  <c r="G1018"/>
  <c r="G113"/>
  <c r="M113"/>
  <c r="G745"/>
  <c r="G746"/>
  <c r="E111" i="4"/>
  <c r="L111"/>
  <c r="G114"/>
  <c r="M114"/>
  <c r="G859" i="2"/>
  <c r="G860"/>
  <c r="G973"/>
  <c r="G974"/>
  <c r="H437"/>
  <c r="G437"/>
  <c r="G447"/>
  <c r="G448"/>
  <c r="G433"/>
  <c r="G113" i="4"/>
  <c r="M113"/>
  <c r="G112" i="2"/>
  <c r="M112"/>
  <c r="G111"/>
  <c r="M111"/>
  <c r="E111"/>
  <c r="L111"/>
  <c r="E114"/>
  <c r="L114"/>
  <c r="E113" i="4"/>
  <c r="L113"/>
  <c r="E113" i="2"/>
  <c r="L113"/>
  <c r="G108"/>
  <c r="M108"/>
  <c r="G108" i="4"/>
  <c r="M108"/>
  <c r="M115"/>
  <c r="E112"/>
  <c r="L112"/>
  <c r="L115"/>
  <c r="E112" i="2"/>
  <c r="L112"/>
  <c r="M115"/>
  <c r="L115"/>
  <c r="V100" i="4"/>
  <c r="Z100"/>
  <c r="V100" i="2"/>
  <c r="Z100"/>
  <c r="J23" i="1"/>
  <c r="AB100" i="2"/>
  <c r="L23" i="1"/>
</calcChain>
</file>

<file path=xl/sharedStrings.xml><?xml version="1.0" encoding="utf-8"?>
<sst xmlns="http://schemas.openxmlformats.org/spreadsheetml/2006/main" count="5464" uniqueCount="1116">
  <si>
    <t>$H$605=eff. Dichte Schleierbew. f. Bodenstrahlung</t>
  </si>
  <si>
    <t>$H$605=eff. Dichte Schleierw. f. Strahlung v. Boden</t>
  </si>
  <si>
    <t>(1-Var$604*$F$16)*(1-$H$605*$F$16)</t>
  </si>
  <si>
    <t>einmal v. Weltraum aus *(1-Var$604*$F$16) und einmal v. Boden aus *(1-$H$605*$F$16)</t>
  </si>
  <si>
    <t>Var$604 und $H$605 sind die effektiven Dichten der Schleierwolke f. Sonneneinstr. auf den Boden, bzw Abstrahlung vom Boden aus</t>
  </si>
  <si>
    <t>$H$605=effekt. Dichte  Schleierwolken für Bodenstrahlung</t>
  </si>
  <si>
    <t>$M$9*($F$7+273)^4*Var$27*(1-$H$605)</t>
  </si>
  <si>
    <t>$H$605=effekt. Dichte hoh. Schleierwolken für Bodenstrahlung</t>
  </si>
  <si>
    <t>==$M$9*($F$7+273)^4*(1-$H$605)</t>
  </si>
  <si>
    <t xml:space="preserve">$H$605=effekt. Dichte Schleierwolken für Strahlung von unten </t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</si>
  <si>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=Var611</t>
    </r>
  </si>
  <si>
    <t>=Var615*$S$20</t>
  </si>
  <si>
    <t>=moment. Sonneneinstr. (Var$67) * Refl.Boden ($S$20) * moment. Tramsmiss.-faktor Kumulus (Var$28) zum Quadrat (Strahlen müssen 2 x durch die Wolke)</t>
  </si>
  <si>
    <t>=Var616*(1-($F$16+$F$13)*$H$605)</t>
  </si>
  <si>
    <r>
      <t xml:space="preserve">=Var617^2/Var613,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</t>
    </r>
    <r>
      <rPr>
        <b/>
        <sz val="11"/>
        <color indexed="60"/>
        <rFont val="Calibri"/>
        <family val="2"/>
      </rPr>
      <t>(E)</t>
    </r>
    <r>
      <rPr>
        <sz val="11"/>
        <color theme="1"/>
        <rFont val="Calibri"/>
        <family val="2"/>
        <scheme val="minor"/>
      </rPr>
      <t xml:space="preserve"> Strahlen nochmals aufmultipliziert</t>
    </r>
  </si>
  <si>
    <t>=$S$24*(1-$H$605*(1-$F$14))</t>
  </si>
  <si>
    <t>=$S$24*(1-Var$27)</t>
  </si>
  <si>
    <t>=$S$24*(1-Var$27)*(1-$H$605)</t>
  </si>
  <si>
    <t>Var$67=moment. Sonneneinstr f. 65 ° Breite</t>
  </si>
  <si>
    <t>Var$66=moment. Sonneneinstr f. 60 ° Breite</t>
  </si>
  <si>
    <t>=Var648*($S$20*(1-Var$27)+$F$15*Var$27)</t>
  </si>
  <si>
    <r>
      <t>=</t>
    </r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 xml:space="preserve">*$H$605*$F$16 </t>
    </r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</si>
  <si>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=Var650</t>
    </r>
  </si>
  <si>
    <r>
      <t>=</t>
    </r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 xml:space="preserve">*$H$491*$F$16 </t>
    </r>
  </si>
  <si>
    <t>=Var661*($S$20*(1-Var$27)+$F$15*Var$27)</t>
  </si>
  <si>
    <t>=Var662*(1-($F$16+$F$13)*$H$605)</t>
  </si>
  <si>
    <r>
      <t xml:space="preserve">=Var663^2/(Var652+Var657),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(</t>
    </r>
    <r>
      <rPr>
        <b/>
        <sz val="11"/>
        <color indexed="60"/>
        <rFont val="Calibri"/>
        <family val="2"/>
      </rPr>
      <t>(E</t>
    </r>
    <r>
      <rPr>
        <b/>
        <vertAlign val="subscript"/>
        <sz val="11"/>
        <color indexed="60"/>
        <rFont val="Calibri"/>
        <family val="2"/>
      </rPr>
      <t>K</t>
    </r>
    <r>
      <rPr>
        <b/>
        <sz val="11"/>
        <color indexed="60"/>
        <rFont val="Calibri"/>
        <family val="2"/>
      </rPr>
      <t>)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indexed="60"/>
        <rFont val="Calibri"/>
        <family val="2"/>
      </rPr>
      <t>(E</t>
    </r>
    <r>
      <rPr>
        <b/>
        <vertAlign val="subscript"/>
        <sz val="11"/>
        <color indexed="60"/>
        <rFont val="Calibri"/>
        <family val="2"/>
      </rPr>
      <t>B</t>
    </r>
    <r>
      <rPr>
        <b/>
        <sz val="11"/>
        <color indexed="60"/>
        <rFont val="Calibri"/>
        <family val="2"/>
      </rPr>
      <t>)</t>
    </r>
    <r>
      <rPr>
        <sz val="11"/>
        <color theme="1"/>
        <rFont val="Calibri"/>
        <family val="2"/>
        <scheme val="minor"/>
      </rPr>
      <t>) Strahlen nochmals aufmultipliziert</t>
    </r>
  </si>
  <si>
    <t>$S$24=Wärmestrahlung für 65° Breite</t>
  </si>
  <si>
    <t>$R$24=Wärmestrahlung für 60° Breite</t>
  </si>
  <si>
    <t>=Var687*$F$15</t>
  </si>
  <si>
    <t>=Var579*$F$15</t>
  </si>
  <si>
    <t>=Var693*$F$15</t>
  </si>
  <si>
    <t>=Var694*(1-($F$16+$F$13)*$H$605)</t>
  </si>
  <si>
    <t>=Var580*(1-($F$16+$F$13)*$H$491)</t>
  </si>
  <si>
    <r>
      <t xml:space="preserve">=Var695^2/Var691,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</t>
    </r>
    <r>
      <rPr>
        <b/>
        <sz val="11"/>
        <color indexed="60"/>
        <rFont val="Calibri"/>
        <family val="2"/>
      </rPr>
      <t>(E)</t>
    </r>
    <r>
      <rPr>
        <sz val="11"/>
        <color theme="1"/>
        <rFont val="Calibri"/>
        <family val="2"/>
        <scheme val="minor"/>
      </rPr>
      <t xml:space="preserve"> Strahlen nochmals aufmultipliziert</t>
    </r>
  </si>
  <si>
    <t xml:space="preserve">=Var$68 für 70° </t>
  </si>
  <si>
    <t>$T$20=Refl.-koeff. Boden f. 70 ° Breite</t>
  </si>
  <si>
    <t>$T$24=Wärmestrahlung f. 70° Breite</t>
  </si>
  <si>
    <t>=Var$68*$T$20</t>
  </si>
  <si>
    <t>Var$718=eff. Dichte Schleierwolken für Sonneneinstrahlung als Funktion des Einfallswinkels</t>
  </si>
  <si>
    <t>Var$718=eff. Dichte Schleierbew. f. Sonnenstr.</t>
  </si>
  <si>
    <t>Var$718=effekt. Dichte Schleierw. f. Sonnenstrahlung als Funktion des Einfallswinkels</t>
  </si>
  <si>
    <t>$H$719=eff. Dichte Schleierbew. f. Bodenstrahlung</t>
  </si>
  <si>
    <t>$H$719=eff. Dichte Schleierw. f. Strahlung v. Boden</t>
  </si>
  <si>
    <t>(1-Var$718*$F$16)*(1-$H$719*$F$16)</t>
  </si>
  <si>
    <t>einmal v. Weltraum aus *(1-Var$718*$F$16) und einmal v. Boden aus *(1-$H$719*$F$16)</t>
  </si>
  <si>
    <t>Var$718 und $H$719 sind die effektiven Dichten der Schleierwolke f. Sonneneinstr. auf den Boden, bzw Abstrahlung vom Boden aus</t>
  </si>
  <si>
    <t>$H$719=effekt. Dichte  Schleierwolken für Bodenstrahlung</t>
  </si>
  <si>
    <t>$M$9*($F$7+273)^4*Var$27*(1-$H$719)</t>
  </si>
  <si>
    <t>$H$719=effekt. Dichte hoh. Schleierwolken für Bodenstrahlung</t>
  </si>
  <si>
    <t>==$M$9*($F$7+273)^4*(1-$H$719)</t>
  </si>
  <si>
    <t xml:space="preserve">$H$719=effekt. Dichte Schleierwolken für Strahlung von unten </t>
  </si>
  <si>
    <t>=Var$68*Var$718*$F$16</t>
  </si>
  <si>
    <t>=Var$68*(1-($F$16+$F$13)*Var$718)</t>
  </si>
  <si>
    <t>=Var$68*Var$27*$F$15</t>
  </si>
  <si>
    <t>Var$68=moment. Sonneneinstrahlung</t>
  </si>
  <si>
    <t>=Var$68*$F$15</t>
  </si>
  <si>
    <r>
      <t>Var$68=</t>
    </r>
    <r>
      <rPr>
        <b/>
        <sz val="11"/>
        <color indexed="60"/>
        <rFont val="Calibri"/>
        <family val="2"/>
      </rPr>
      <t>(A)</t>
    </r>
  </si>
  <si>
    <r>
      <t>=</t>
    </r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 xml:space="preserve">*$H$719*$F$16 </t>
    </r>
  </si>
  <si>
    <r>
      <t>Var$67=</t>
    </r>
    <r>
      <rPr>
        <b/>
        <sz val="11"/>
        <color indexed="60"/>
        <rFont val="Calibri"/>
        <family val="2"/>
      </rPr>
      <t>(A)</t>
    </r>
  </si>
  <si>
    <r>
      <t>Var$67=moment. Sonneneinstrahlung =</t>
    </r>
    <r>
      <rPr>
        <b/>
        <sz val="11"/>
        <color indexed="60"/>
        <rFont val="Calibri"/>
        <family val="2"/>
      </rPr>
      <t>(A)</t>
    </r>
  </si>
  <si>
    <r>
      <t>Var$67=moment. Sonneneinstr. =</t>
    </r>
    <r>
      <rPr>
        <b/>
        <sz val="11"/>
        <color indexed="60"/>
        <rFont val="Calibri"/>
        <family val="2"/>
      </rPr>
      <t xml:space="preserve"> (A)</t>
    </r>
  </si>
  <si>
    <r>
      <t>Var$68=moment. Sonneneinstrahlung =</t>
    </r>
    <r>
      <rPr>
        <b/>
        <sz val="11"/>
        <color indexed="60"/>
        <rFont val="Calibri"/>
        <family val="2"/>
      </rPr>
      <t>(A)</t>
    </r>
  </si>
  <si>
    <r>
      <t xml:space="preserve">Var$68=moment. Sonneneinstr. = </t>
    </r>
    <r>
      <rPr>
        <b/>
        <sz val="11"/>
        <color indexed="60"/>
        <rFont val="Calibri"/>
        <family val="2"/>
      </rPr>
      <t>(A)</t>
    </r>
  </si>
  <si>
    <r>
      <t>Var$66=moment. Sonneneinstrahlung =</t>
    </r>
    <r>
      <rPr>
        <b/>
        <sz val="11"/>
        <color indexed="60"/>
        <rFont val="Calibri"/>
        <family val="2"/>
      </rPr>
      <t>(A)</t>
    </r>
  </si>
  <si>
    <t>RB = Reflekt. Boden =$T$20</t>
  </si>
  <si>
    <t>=$T$24*(1-$H$719*(1-$F$14))</t>
  </si>
  <si>
    <t>=moment. Sonneneinstr. (Var$68) * Refl.Boden ($T$20) * moment. Tramsmiss.-faktor Kumulus (Var$28) zum Quadrat (Strahlen müssen 2 x durch die Wolke)</t>
  </si>
  <si>
    <t>=$T$24*(1-Var$27)</t>
  </si>
  <si>
    <t>=$T$24*(1-Var$27)*(1-$H$719)</t>
  </si>
  <si>
    <t>=Var723*$T$20</t>
  </si>
  <si>
    <r>
      <t>=</t>
    </r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 xml:space="preserve">*(1-($F$16+$F$13)*$H$719)    </t>
    </r>
  </si>
  <si>
    <r>
      <t>=</t>
    </r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 xml:space="preserve">*(1-($F$16+$F$13)*$H$605)    </t>
    </r>
  </si>
  <si>
    <r>
      <t>=</t>
    </r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 xml:space="preserve">*(1-($F$16+$F$13)*$H$491)    </t>
    </r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</si>
  <si>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=Var725</t>
    </r>
  </si>
  <si>
    <t>=Var729*$T$20</t>
  </si>
  <si>
    <t>=Var730*(1-($F$16+$F$13)*$H$719)</t>
  </si>
  <si>
    <r>
      <t xml:space="preserve">=Var731^2/Var727,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</t>
    </r>
    <r>
      <rPr>
        <b/>
        <sz val="11"/>
        <color indexed="60"/>
        <rFont val="Calibri"/>
        <family val="2"/>
      </rPr>
      <t>(E)</t>
    </r>
    <r>
      <rPr>
        <sz val="11"/>
        <color theme="1"/>
        <rFont val="Calibri"/>
        <family val="2"/>
        <scheme val="minor"/>
      </rPr>
      <t xml:space="preserve"> Strahlen nochmals aufmultipliziert</t>
    </r>
  </si>
  <si>
    <t>$T$24=Wärmestrahl. f. 70° Breite</t>
  </si>
  <si>
    <t>Var$68=moment. Sonneneinstr f. 70 ° Breite</t>
  </si>
  <si>
    <t>=Var762*($T$20*(1-Var$27)+$F$15*Var$27)</t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</si>
  <si>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=Var764</t>
    </r>
  </si>
  <si>
    <t>=Var775*($T$20*(1-Var$27)+$F$15*Var$27)</t>
  </si>
  <si>
    <t>=Var776*(1-($F$16+$F$13)*$H$719)</t>
  </si>
  <si>
    <r>
      <t xml:space="preserve">=Var777^2/(Var766+Var771),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(</t>
    </r>
    <r>
      <rPr>
        <b/>
        <sz val="11"/>
        <color indexed="60"/>
        <rFont val="Calibri"/>
        <family val="2"/>
      </rPr>
      <t>(E</t>
    </r>
    <r>
      <rPr>
        <b/>
        <vertAlign val="subscript"/>
        <sz val="11"/>
        <color indexed="60"/>
        <rFont val="Calibri"/>
        <family val="2"/>
      </rPr>
      <t>K</t>
    </r>
    <r>
      <rPr>
        <b/>
        <sz val="11"/>
        <color indexed="60"/>
        <rFont val="Calibri"/>
        <family val="2"/>
      </rPr>
      <t>)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indexed="60"/>
        <rFont val="Calibri"/>
        <family val="2"/>
      </rPr>
      <t>(E</t>
    </r>
    <r>
      <rPr>
        <b/>
        <vertAlign val="subscript"/>
        <sz val="11"/>
        <color indexed="60"/>
        <rFont val="Calibri"/>
        <family val="2"/>
      </rPr>
      <t>B</t>
    </r>
    <r>
      <rPr>
        <b/>
        <sz val="11"/>
        <color indexed="60"/>
        <rFont val="Calibri"/>
        <family val="2"/>
      </rPr>
      <t>)</t>
    </r>
    <r>
      <rPr>
        <sz val="11"/>
        <color theme="1"/>
        <rFont val="Calibri"/>
        <family val="2"/>
        <scheme val="minor"/>
      </rPr>
      <t>) Strahlen nochmals aufmultipliziert</t>
    </r>
  </si>
  <si>
    <t>=Var801*$F$15</t>
  </si>
  <si>
    <t>=Var803*(1-($F$16+$F$13)*$H$719)</t>
  </si>
  <si>
    <t>=Var689*(1-($F$16+$F$13)*$H$605)</t>
  </si>
  <si>
    <t>=Var575*(1-($F$16+$F$13)*$H$491)</t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</si>
  <si>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=Var803</t>
    </r>
  </si>
  <si>
    <t>=Var807*$F$15</t>
  </si>
  <si>
    <t>=Var808*(1-($F$16+$F$13)*$H$719)</t>
  </si>
  <si>
    <r>
      <t xml:space="preserve">=Var809^2/Var805,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</t>
    </r>
    <r>
      <rPr>
        <b/>
        <sz val="11"/>
        <color indexed="60"/>
        <rFont val="Calibri"/>
        <family val="2"/>
      </rPr>
      <t>(E)</t>
    </r>
    <r>
      <rPr>
        <sz val="11"/>
        <color theme="1"/>
        <rFont val="Calibri"/>
        <family val="2"/>
        <scheme val="minor"/>
      </rPr>
      <t xml:space="preserve"> Strahlen nochmals aufmultipliziert</t>
    </r>
  </si>
  <si>
    <t xml:space="preserve">=Var$69 für 75° </t>
  </si>
  <si>
    <t>$U$20=Refl.-koeff. Boden f. 75 ° Breite</t>
  </si>
  <si>
    <t>Var$69=momentane Sonnenintensität</t>
  </si>
  <si>
    <t>=Var$69*$U$20</t>
  </si>
  <si>
    <t>$U$24=Wärmestrahlung f. 65° Breite</t>
  </si>
  <si>
    <t>=Var$69*Var$27*$F$15</t>
  </si>
  <si>
    <t>Var$69=moment. Sonneneinstrahlung</t>
  </si>
  <si>
    <t>=Var$69*$F$15</t>
  </si>
  <si>
    <t>=Var$69*Var$832*$F$16</t>
  </si>
  <si>
    <t>Var$832=eff. Dichte Schleierwolken für Sonneneinstrahlung als Funktion des Einfallswinkels</t>
  </si>
  <si>
    <t>=Var$69*(1-($F$16+$F$13)*Var$832)</t>
  </si>
  <si>
    <t>Var$832=eff. Dichte Schleierbew. f. Sonnenstr.</t>
  </si>
  <si>
    <t>Var$832=effekt. Dichte Schleierw. f. Sonnenstrahlung als Funktion des Einfallswinkels</t>
  </si>
  <si>
    <t>RB = Reflekt. Boden =$U$20</t>
  </si>
  <si>
    <t>=moment. Sonneneinstr. (Var$69) * Refl.Boden ($U$20) * moment. Tramsmiss.-faktor Kumulus (Var$28) zum Quadrat (Strahlen müssen 2 x durch die Wolke)</t>
  </si>
  <si>
    <t>=$U$24*(1-Var$27)</t>
  </si>
  <si>
    <t>=Var837*$U$20</t>
  </si>
  <si>
    <t>$H$833=eff. Dichte Schleierbew. f. Bodenstrahlung</t>
  </si>
  <si>
    <t>=$U$24*(1-$H$833*(1-$F$14))</t>
  </si>
  <si>
    <t>$H$833=eff. Dichte Schleierw. f. Strahlung v. Boden</t>
  </si>
  <si>
    <t>(1-Var$832*$F$16)*(1-$H$833*$F$16)</t>
  </si>
  <si>
    <t>einmal v. Weltraum aus *(1-Var$832*$F$16) und einmal v. Boden aus *(1-$H$833*$F$16)</t>
  </si>
  <si>
    <t>Var$832 und $H$833 sind die effektiven Dichten der Schleierwolke f. Sonneneinstr. auf den Boden, bzw Abstrahlung vom Boden aus</t>
  </si>
  <si>
    <t>=$U$24*(1-Var$27)*(1-$H$833)</t>
  </si>
  <si>
    <t>$H$833=effekt. Dichte  Schleierwolken für Bodenstrahlung</t>
  </si>
  <si>
    <t>$M$9*($F$7+273)^4*Var$27*(1-$H$833)</t>
  </si>
  <si>
    <t>$H$833=effekt. Dichte hoh. Schleierwolken für Bodenstrahlung</t>
  </si>
  <si>
    <t>==$M$9*($F$7+273)^4*(1-$H$833)</t>
  </si>
  <si>
    <t xml:space="preserve">$H$833=effekt. Dichte Schleierwolken für Strahlung von unten </t>
  </si>
  <si>
    <r>
      <t>=</t>
    </r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 xml:space="preserve">*$H$833*$F$16 </t>
    </r>
  </si>
  <si>
    <r>
      <t>Var$69=</t>
    </r>
    <r>
      <rPr>
        <b/>
        <sz val="11"/>
        <color indexed="60"/>
        <rFont val="Calibri"/>
        <family val="2"/>
      </rPr>
      <t>(A)</t>
    </r>
  </si>
  <si>
    <t>Var$69=moment. Sonneneinstr f. 75 ° Breite</t>
  </si>
  <si>
    <t>$U$24=Wärmestrahlung für 75° Breite</t>
  </si>
  <si>
    <t>=Var889*($U$20*(1-Var$27)+$F$15*Var$27)</t>
  </si>
  <si>
    <r>
      <t>Var$69=moment. Sonneneinstrahlung =</t>
    </r>
    <r>
      <rPr>
        <b/>
        <sz val="11"/>
        <color indexed="60"/>
        <rFont val="Calibri"/>
        <family val="2"/>
      </rPr>
      <t>(A)</t>
    </r>
  </si>
  <si>
    <t>$U$24=Wärmestrahlung f. 75° Breite</t>
  </si>
  <si>
    <r>
      <t>Var$69=moment. Sonneneinstr. =</t>
    </r>
    <r>
      <rPr>
        <b/>
        <sz val="11"/>
        <color indexed="60"/>
        <rFont val="Calibri"/>
        <family val="2"/>
      </rPr>
      <t xml:space="preserve"> (A)</t>
    </r>
  </si>
  <si>
    <r>
      <t>=</t>
    </r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 xml:space="preserve">*(1-($F$16+$F$13)*$H$833)    </t>
    </r>
  </si>
  <si>
    <t>=Var843*$U$20</t>
  </si>
  <si>
    <t>=Var844*(1-($F$16+$F$13)*$H$833)</t>
  </si>
  <si>
    <r>
      <t xml:space="preserve">=Var845^2/Var841,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</t>
    </r>
    <r>
      <rPr>
        <b/>
        <sz val="11"/>
        <color indexed="60"/>
        <rFont val="Calibri"/>
        <family val="2"/>
      </rPr>
      <t>(E)</t>
    </r>
    <r>
      <rPr>
        <sz val="11"/>
        <color theme="1"/>
        <rFont val="Calibri"/>
        <family val="2"/>
        <scheme val="minor"/>
      </rPr>
      <t xml:space="preserve"> Strahlen nochmals aufmultipliziert</t>
    </r>
  </si>
  <si>
    <t>=Var890*(1-($F$16+$F$13)*$H$833)</t>
  </si>
  <si>
    <t>=Var915*$F$15</t>
  </si>
  <si>
    <t>=Var917*(1-($F$16+$F$13)*$H$833)</t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</si>
  <si>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=Var917</t>
    </r>
  </si>
  <si>
    <t>=Var921*$F$15</t>
  </si>
  <si>
    <t>=Var922*(1-($F$16+$F$13)*$H$833)</t>
  </si>
  <si>
    <r>
      <t xml:space="preserve">=Var923^2/Var919,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</t>
    </r>
    <r>
      <rPr>
        <b/>
        <sz val="11"/>
        <color indexed="60"/>
        <rFont val="Calibri"/>
        <family val="2"/>
      </rPr>
      <t>(E)</t>
    </r>
    <r>
      <rPr>
        <sz val="11"/>
        <color theme="1"/>
        <rFont val="Calibri"/>
        <family val="2"/>
        <scheme val="minor"/>
      </rPr>
      <t xml:space="preserve"> Strahlen nochmals aufmultipliziert</t>
    </r>
  </si>
  <si>
    <t xml:space="preserve">=Var$70 für 80° </t>
  </si>
  <si>
    <t>$V$24=Wärmestrahlung f. 80° Breite</t>
  </si>
  <si>
    <t>$V$20=Refl.-koeff. Boden f. 80 ° Breite</t>
  </si>
  <si>
    <t>Var$70=momentane Sonnenintensität</t>
  </si>
  <si>
    <t>=Var$70*$V$20</t>
  </si>
  <si>
    <t>=Var$70*Var$946*$F$16</t>
  </si>
  <si>
    <r>
      <t>Var$70=moment. Sonneneinstr. =</t>
    </r>
    <r>
      <rPr>
        <b/>
        <sz val="11"/>
        <color indexed="60"/>
        <rFont val="Calibri"/>
        <family val="2"/>
      </rPr>
      <t xml:space="preserve"> (A)</t>
    </r>
  </si>
  <si>
    <t>Var$946=eff. Dichte Schleierwolken für Sonneneinstrahlung als Funktion des Einfallswinkels</t>
  </si>
  <si>
    <r>
      <t>Var$70=</t>
    </r>
    <r>
      <rPr>
        <b/>
        <sz val="11"/>
        <color indexed="60"/>
        <rFont val="Calibri"/>
        <family val="2"/>
      </rPr>
      <t>(A)</t>
    </r>
  </si>
  <si>
    <t>=Var$70*(1-($F$16+$F$13)*Var$946)</t>
  </si>
  <si>
    <t>RB = Reflekt. Boden =$V$20</t>
  </si>
  <si>
    <t>=Var951*$V$20</t>
  </si>
  <si>
    <r>
      <t>=</t>
    </r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 xml:space="preserve">*(1-($F$16+$F$13)*$H$947)    </t>
    </r>
  </si>
  <si>
    <t>$H$947=eff. Dichte Schleierbew. f. Bodenstrahlung</t>
  </si>
  <si>
    <r>
      <t>=</t>
    </r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 xml:space="preserve">*$H$947*$F$16 </t>
    </r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</si>
  <si>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=Var953</t>
    </r>
  </si>
  <si>
    <t>=Var957*$V$20</t>
  </si>
  <si>
    <t>=Var958*(1-($F$16+$F$13)*$H$947)</t>
  </si>
  <si>
    <r>
      <t xml:space="preserve">=Var959^2/Var955,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</t>
    </r>
    <r>
      <rPr>
        <b/>
        <sz val="11"/>
        <color indexed="60"/>
        <rFont val="Calibri"/>
        <family val="2"/>
      </rPr>
      <t>(E)</t>
    </r>
    <r>
      <rPr>
        <sz val="11"/>
        <color theme="1"/>
        <rFont val="Calibri"/>
        <family val="2"/>
        <scheme val="minor"/>
      </rPr>
      <t xml:space="preserve"> Strahlen nochmals aufmultipliziert</t>
    </r>
  </si>
  <si>
    <t>=$V$24*(1-$H$947*(1-$F$14))</t>
  </si>
  <si>
    <t>$V$24=Wärmestrahl. f. 80° Breite</t>
  </si>
  <si>
    <t>$H$947=eff. Dichte Schleierw. f. Strahlung v. Boden</t>
  </si>
  <si>
    <t>=Var$70*Var$27*$F$15</t>
  </si>
  <si>
    <t>=moment. Sonneneinstr. (Var$70) * Refl.Boden ($V$20) * moment. Tramsmiss.-faktor Kumulus (Var$28) zum Quadrat (Strahlen müssen 2 x durch die Wolke)</t>
  </si>
  <si>
    <t>=$V$24*(1-Var$27)</t>
  </si>
  <si>
    <t>Var$70=moment. Sonneneinstr f. 80 ° Breite</t>
  </si>
  <si>
    <r>
      <t>Var$70=moment. Sonneneinstrahlung =</t>
    </r>
    <r>
      <rPr>
        <b/>
        <sz val="11"/>
        <color indexed="60"/>
        <rFont val="Calibri"/>
        <family val="2"/>
      </rPr>
      <t>(A)</t>
    </r>
  </si>
  <si>
    <t>Var$946=eff. Dichte Schleierbew. f. Sonnenstr.</t>
  </si>
  <si>
    <t>=Var990*($V$20*(1-Var$27)+$F$15*Var$27)</t>
  </si>
  <si>
    <t>Var$70=moment. Sonneneinstrahlung</t>
  </si>
  <si>
    <t>(1-Var$946*$F$16)*(1-$H$947*$F$16)</t>
  </si>
  <si>
    <t>einmal v. Weltraum aus *(1-Var$946*$F$16) und einmal v. Boden aus *(1-$H$947*$F$16)</t>
  </si>
  <si>
    <t>Var$946 und $H$947 sind die effektiven Dichten der Schleierwolke f. Sonneneinstr. auf den Boden, bzw Abstrahlung vom Boden aus</t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</si>
  <si>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=Var992</t>
    </r>
  </si>
  <si>
    <t>=Var1003*($V$20*(1-Var$27)+$F$15*Var$27)</t>
  </si>
  <si>
    <t>=Var1004*(1-($F$16+$F$13)*$H$947)</t>
  </si>
  <si>
    <r>
      <t xml:space="preserve">=Var1005^2/(Var994+Var999),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(</t>
    </r>
    <r>
      <rPr>
        <b/>
        <sz val="11"/>
        <color indexed="60"/>
        <rFont val="Calibri"/>
        <family val="2"/>
      </rPr>
      <t>(E</t>
    </r>
    <r>
      <rPr>
        <b/>
        <vertAlign val="subscript"/>
        <sz val="11"/>
        <color indexed="60"/>
        <rFont val="Calibri"/>
        <family val="2"/>
      </rPr>
      <t>K</t>
    </r>
    <r>
      <rPr>
        <b/>
        <sz val="11"/>
        <color indexed="60"/>
        <rFont val="Calibri"/>
        <family val="2"/>
      </rPr>
      <t>)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indexed="60"/>
        <rFont val="Calibri"/>
        <family val="2"/>
      </rPr>
      <t>(E</t>
    </r>
    <r>
      <rPr>
        <b/>
        <vertAlign val="subscript"/>
        <sz val="11"/>
        <color indexed="60"/>
        <rFont val="Calibri"/>
        <family val="2"/>
      </rPr>
      <t>B</t>
    </r>
    <r>
      <rPr>
        <b/>
        <sz val="11"/>
        <color indexed="60"/>
        <rFont val="Calibri"/>
        <family val="2"/>
      </rPr>
      <t>)</t>
    </r>
    <r>
      <rPr>
        <sz val="11"/>
        <color theme="1"/>
        <rFont val="Calibri"/>
        <family val="2"/>
        <scheme val="minor"/>
      </rPr>
      <t>) Strahlen nochmals aufmultipliziert</t>
    </r>
  </si>
  <si>
    <t>=$V$24*(1-Var$27)*(1-$H$947)</t>
  </si>
  <si>
    <t>$V$24=Wärmestrahlung für 65° Breite</t>
  </si>
  <si>
    <t>$H$947=effekt. Dichte  Schleierwolken für Bodenstrahlung</t>
  </si>
  <si>
    <t>$M$9*($F$7+273)^4*Var$27*(1-$H$947)</t>
  </si>
  <si>
    <t>$H$947=effekt. Dichte hoh. Schleierwolken für Bodenstrahlung</t>
  </si>
  <si>
    <t>=Var$70*$F$15</t>
  </si>
  <si>
    <t>Var$946=effekt. Dichte Schleierw. f. Sonnenstrahlung als Funktion des Einfallswinkels</t>
  </si>
  <si>
    <t>=Var1029*$F$15</t>
  </si>
  <si>
    <t>=Var1031*(1-($F$16+$F$13)*$H$947)</t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</si>
  <si>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=Var1031</t>
    </r>
  </si>
  <si>
    <t>=Var1035*$F$15</t>
  </si>
  <si>
    <t>=Var1036*(1-($F$16+$F$13)*$H$947)</t>
  </si>
  <si>
    <r>
      <t xml:space="preserve">=Var1037^2/Var1033,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</t>
    </r>
    <r>
      <rPr>
        <b/>
        <sz val="11"/>
        <color indexed="60"/>
        <rFont val="Calibri"/>
        <family val="2"/>
      </rPr>
      <t>(E)</t>
    </r>
    <r>
      <rPr>
        <sz val="11"/>
        <color theme="1"/>
        <rFont val="Calibri"/>
        <family val="2"/>
        <scheme val="minor"/>
      </rPr>
      <t xml:space="preserve"> Strahlen nochmals aufmultipliziert</t>
    </r>
  </si>
  <si>
    <t>==$M$9*($F$7+273)^4*(1-$H$947)</t>
  </si>
  <si>
    <t xml:space="preserve">=Var$71 für 85° </t>
  </si>
  <si>
    <t>$W$20=Refl.-koeff. Boden f. 85 ° Breite</t>
  </si>
  <si>
    <t>Var$71=momentane Sonnenintensität</t>
  </si>
  <si>
    <t>=Var$71*$W$20</t>
  </si>
  <si>
    <t>$W$24=Wärmestrahlung f. 85° Breite</t>
  </si>
  <si>
    <t>=Var$71*Var$1060*$F$16</t>
  </si>
  <si>
    <r>
      <t xml:space="preserve">Var$71=moment. Sonneneinstr. = </t>
    </r>
    <r>
      <rPr>
        <b/>
        <sz val="11"/>
        <color indexed="60"/>
        <rFont val="Calibri"/>
        <family val="2"/>
      </rPr>
      <t>(A)</t>
    </r>
  </si>
  <si>
    <t>Var$1060=eff. Dichte Schleierwolken für Sonneneinstrahlung als Funktion des Einfallswinkels</t>
  </si>
  <si>
    <t>=Var$71*(1-($F$16+$F$13)*Var$1060)</t>
  </si>
  <si>
    <r>
      <t>Var$71=</t>
    </r>
    <r>
      <rPr>
        <b/>
        <sz val="11"/>
        <color indexed="60"/>
        <rFont val="Calibri"/>
        <family val="2"/>
      </rPr>
      <t>(A)</t>
    </r>
  </si>
  <si>
    <t>RB = Reflekt. Boden =$W$20</t>
  </si>
  <si>
    <t>=Var1065*$W$20</t>
  </si>
  <si>
    <r>
      <t>=</t>
    </r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 xml:space="preserve">*(1-($F$16+$F$13)*$H$1061)    </t>
    </r>
  </si>
  <si>
    <t>$H$1061=eff. Dichte Schleierbew. f. Bodenstrahlung</t>
  </si>
  <si>
    <r>
      <t>=</t>
    </r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 xml:space="preserve">*$H$1061*$F$16 </t>
    </r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</si>
  <si>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=Var1067</t>
    </r>
  </si>
  <si>
    <t>=Var1071*$W$20</t>
  </si>
  <si>
    <t>=Var1072*(1-($F$16+$F$13)*$H$1061)</t>
  </si>
  <si>
    <r>
      <t xml:space="preserve">=Var1073^2/Var1069,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</t>
    </r>
    <r>
      <rPr>
        <b/>
        <sz val="11"/>
        <color indexed="60"/>
        <rFont val="Calibri"/>
        <family val="2"/>
      </rPr>
      <t>(E)</t>
    </r>
    <r>
      <rPr>
        <sz val="11"/>
        <color theme="1"/>
        <rFont val="Calibri"/>
        <family val="2"/>
        <scheme val="minor"/>
      </rPr>
      <t xml:space="preserve"> Strahlen nochmals aufmultipliziert</t>
    </r>
  </si>
  <si>
    <t>=$W$24*(1-$H$1061*(1-$F$14))</t>
  </si>
  <si>
    <t>$W$24=Wärmestrahl. f. 85° Breite</t>
  </si>
  <si>
    <t>$H$1061=eff. Dichte Schleierw. f. Strahlung v. Boden</t>
  </si>
  <si>
    <t>=Var$71*Var$27*$F$15</t>
  </si>
  <si>
    <t>Var$71=moment. Sonneneinstr f. 85 ° Breite</t>
  </si>
  <si>
    <t>=moment. Sonneneinstr. (Var$71) * Refl.Boden ($W$20) * moment. Tramsmiss.-faktor Kumulus (Var$28) zum Quadrat (Strahlen müssen 2 x durch die Wolke)</t>
  </si>
  <si>
    <t>=$W$24*(1-Var$27)</t>
  </si>
  <si>
    <r>
      <t>Var$71=moment. Sonneneinstrahlung =</t>
    </r>
    <r>
      <rPr>
        <b/>
        <sz val="11"/>
        <color indexed="60"/>
        <rFont val="Calibri"/>
        <family val="2"/>
      </rPr>
      <t>(A)</t>
    </r>
  </si>
  <si>
    <t>Var$1060=eff. Dichte Schleierbew. f. Sonnenstr.</t>
  </si>
  <si>
    <t>=Var1104*($W$20*(1-Var$27)+$F$15*Var$27)</t>
  </si>
  <si>
    <t>Var$71=moment. Sonneneinstrahlung</t>
  </si>
  <si>
    <t>(1-Var$1060*$F$16)*(1-$H$1061*$F$16)</t>
  </si>
  <si>
    <t>einmal v. Weltraum aus *(1-Var$1060*$F$16) und einmal v. Boden aus *(1-$H$1061*$F$16)</t>
  </si>
  <si>
    <t>Var$1060 und $H$1061 sind die effektiven Dichten der Schleierwolke f. Sonneneinstr. auf den Boden, bzw Abstrahlung vom Boden aus</t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</si>
  <si>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=Var1106</t>
    </r>
  </si>
  <si>
    <t>=Var1117*($W$20*(1-Var$27)+$F$15*Var$27)</t>
  </si>
  <si>
    <t>=Var1118*(1-($F$16+$F$13)*$H$1061)</t>
  </si>
  <si>
    <r>
      <t xml:space="preserve">=Var1119^2/(Var1108+Var1113),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(</t>
    </r>
    <r>
      <rPr>
        <b/>
        <sz val="11"/>
        <color indexed="60"/>
        <rFont val="Calibri"/>
        <family val="2"/>
      </rPr>
      <t>(E</t>
    </r>
    <r>
      <rPr>
        <b/>
        <vertAlign val="subscript"/>
        <sz val="11"/>
        <color indexed="60"/>
        <rFont val="Calibri"/>
        <family val="2"/>
      </rPr>
      <t>K</t>
    </r>
    <r>
      <rPr>
        <b/>
        <sz val="11"/>
        <color indexed="60"/>
        <rFont val="Calibri"/>
        <family val="2"/>
      </rPr>
      <t>)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indexed="60"/>
        <rFont val="Calibri"/>
        <family val="2"/>
      </rPr>
      <t>(E</t>
    </r>
    <r>
      <rPr>
        <b/>
        <vertAlign val="subscript"/>
        <sz val="11"/>
        <color indexed="60"/>
        <rFont val="Calibri"/>
        <family val="2"/>
      </rPr>
      <t>B</t>
    </r>
    <r>
      <rPr>
        <b/>
        <sz val="11"/>
        <color indexed="60"/>
        <rFont val="Calibri"/>
        <family val="2"/>
      </rPr>
      <t>)</t>
    </r>
    <r>
      <rPr>
        <sz val="11"/>
        <color theme="1"/>
        <rFont val="Calibri"/>
        <family val="2"/>
        <scheme val="minor"/>
      </rPr>
      <t>) Strahlen nochmals aufmultipliziert</t>
    </r>
  </si>
  <si>
    <t>=$W$24*(1-Var$27)*(1-$H$1061)</t>
  </si>
  <si>
    <t>$W$24=Wärmestrahlung für 85° Breite</t>
  </si>
  <si>
    <t>$H$1061=effekt. Dichte  Schleierwolken für Bodenstrahlung</t>
  </si>
  <si>
    <t>$M$9*($F$7+273)^4*Var$27*(1-$H$1061)</t>
  </si>
  <si>
    <t>$H$1061=effekt. Dichte hoh. Schleierwolken für Bodenstrahlung</t>
  </si>
  <si>
    <t>=Var$71*$F$15</t>
  </si>
  <si>
    <t>Var$1060=effekt. Dichte Schleierw. f. Sonnenstrahlung als Funktion des Einfallswinkels</t>
  </si>
  <si>
    <t>=Var1143*$F$15</t>
  </si>
  <si>
    <t>=Var1145*(1-($F$16+$F$13)*$H$1061)</t>
  </si>
  <si>
    <t>=Var1149*$F$15</t>
  </si>
  <si>
    <t>=Var1150*(1-($F$16+$F$13)*$H$1061)</t>
  </si>
  <si>
    <r>
      <t xml:space="preserve">=Var1151^2/Var1147,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</t>
    </r>
    <r>
      <rPr>
        <b/>
        <sz val="11"/>
        <color indexed="60"/>
        <rFont val="Calibri"/>
        <family val="2"/>
      </rPr>
      <t>(E)</t>
    </r>
    <r>
      <rPr>
        <sz val="11"/>
        <color theme="1"/>
        <rFont val="Calibri"/>
        <family val="2"/>
        <scheme val="minor"/>
      </rPr>
      <t xml:space="preserve"> Strahlen nochmals aufmultipliziert</t>
    </r>
  </si>
  <si>
    <t>==$M$9*($F$7+273)^4*(1-$H$1061)</t>
  </si>
  <si>
    <t xml:space="preserve">$H$1061=effekt. Dichte Schleierwolken für Strahlung von unten </t>
  </si>
  <si>
    <r>
      <t>Var1145=</t>
    </r>
    <r>
      <rPr>
        <b/>
        <sz val="11"/>
        <color indexed="60"/>
        <rFont val="Calibri"/>
        <family val="2"/>
      </rPr>
      <t>(D)</t>
    </r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</si>
  <si>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=Var1145</t>
    </r>
  </si>
  <si>
    <t>(1-Var$141*$F$16)*(1-$H$142*$F$16)</t>
  </si>
  <si>
    <t>einmal v. Weltraum aus *(1-Var$141*$F$16) und einmal v. Boden aus *(1-$H$142*$F$16)</t>
  </si>
  <si>
    <t>Var$141 und $H$142 sind die effektiven Dichten der Schleierwolke f. Sonneneinstr. auf den Boden, bzw Abstrahlung vom Boden aus</t>
  </si>
  <si>
    <r>
      <t>Var233=</t>
    </r>
    <r>
      <rPr>
        <b/>
        <sz val="11"/>
        <color indexed="60"/>
        <rFont val="Calibri"/>
        <family val="2"/>
      </rPr>
      <t>(D)</t>
    </r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</si>
  <si>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=Var347</t>
    </r>
  </si>
  <si>
    <t>=Var351*$F$15</t>
  </si>
  <si>
    <r>
      <t>Var461=</t>
    </r>
    <r>
      <rPr>
        <b/>
        <sz val="11"/>
        <color indexed="60"/>
        <rFont val="Calibri"/>
        <family val="2"/>
      </rPr>
      <t>(D)</t>
    </r>
  </si>
  <si>
    <t>$R$24=Wärmestrahl. f. 60° Breite</t>
  </si>
  <si>
    <r>
      <t>Var575=</t>
    </r>
    <r>
      <rPr>
        <b/>
        <sz val="11"/>
        <color indexed="60"/>
        <rFont val="Calibri"/>
        <family val="2"/>
      </rPr>
      <t>(D)</t>
    </r>
  </si>
  <si>
    <t>$S$24=Wärmestrahl. f. 65° Breite</t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</si>
  <si>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=Var689</t>
    </r>
  </si>
  <si>
    <r>
      <t>Var689=</t>
    </r>
    <r>
      <rPr>
        <b/>
        <sz val="11"/>
        <color indexed="60"/>
        <rFont val="Calibri"/>
        <family val="2"/>
      </rPr>
      <t>(D)</t>
    </r>
  </si>
  <si>
    <t>$T$24=Wärmestrahlung für 70° Breite</t>
  </si>
  <si>
    <r>
      <t>Var803=</t>
    </r>
    <r>
      <rPr>
        <b/>
        <sz val="11"/>
        <color indexed="60"/>
        <rFont val="Calibri"/>
        <family val="2"/>
      </rPr>
      <t>(D)</t>
    </r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</si>
  <si>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=Var839</t>
    </r>
  </si>
  <si>
    <t>=Var876*($U$20*(1-Var$27)+$F$15*Var$27)</t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</si>
  <si>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=Var878</t>
    </r>
  </si>
  <si>
    <r>
      <t xml:space="preserve">=Var891^2/(Var880+Var885),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(</t>
    </r>
    <r>
      <rPr>
        <b/>
        <sz val="11"/>
        <color indexed="60"/>
        <rFont val="Calibri"/>
        <family val="2"/>
      </rPr>
      <t>(E</t>
    </r>
    <r>
      <rPr>
        <b/>
        <vertAlign val="subscript"/>
        <sz val="11"/>
        <color indexed="60"/>
        <rFont val="Calibri"/>
        <family val="2"/>
      </rPr>
      <t>K</t>
    </r>
    <r>
      <rPr>
        <b/>
        <sz val="11"/>
        <color indexed="60"/>
        <rFont val="Calibri"/>
        <family val="2"/>
      </rPr>
      <t>)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indexed="60"/>
        <rFont val="Calibri"/>
        <family val="2"/>
      </rPr>
      <t>(E</t>
    </r>
    <r>
      <rPr>
        <b/>
        <vertAlign val="subscript"/>
        <sz val="11"/>
        <color indexed="60"/>
        <rFont val="Calibri"/>
        <family val="2"/>
      </rPr>
      <t>B</t>
    </r>
    <r>
      <rPr>
        <b/>
        <sz val="11"/>
        <color indexed="60"/>
        <rFont val="Calibri"/>
        <family val="2"/>
      </rPr>
      <t>)</t>
    </r>
    <r>
      <rPr>
        <sz val="11"/>
        <color theme="1"/>
        <rFont val="Calibri"/>
        <family val="2"/>
        <scheme val="minor"/>
      </rPr>
      <t>) Strahlen nochmals aufmultipliziert</t>
    </r>
  </si>
  <si>
    <r>
      <t>Var917=</t>
    </r>
    <r>
      <rPr>
        <b/>
        <sz val="11"/>
        <color indexed="60"/>
        <rFont val="Calibri"/>
        <family val="2"/>
      </rPr>
      <t>(D)</t>
    </r>
  </si>
  <si>
    <t>$U$24=Wärmestrahl. f. 75° Breite</t>
  </si>
  <si>
    <r>
      <t>Var1031=</t>
    </r>
    <r>
      <rPr>
        <b/>
        <sz val="11"/>
        <color indexed="60"/>
        <rFont val="Calibri"/>
        <family val="2"/>
      </rPr>
      <t>(D)</t>
    </r>
  </si>
  <si>
    <t>Wärmestr. in Richtung Weltraum ist bei kugelförmigen vereinzelten Objekten bis zum Doppelten der projizierten Fläche $F$11</t>
  </si>
  <si>
    <t>↓  A1): Differenz zu A0), hohe Dichte 0.01</t>
  </si>
  <si>
    <t>↓  B1): Differenz zu B0), hohe Dichte 0.01</t>
  </si>
  <si>
    <t>↓  C1): Differenz zu C0) hohe Dichte 0.01</t>
  </si>
  <si>
    <t>Summe hohe Dichte 0.01=</t>
  </si>
  <si>
    <t>↓--------- hohe Dichte  0.01---------  ↓</t>
  </si>
  <si>
    <t>=$M$9*($F$9+273)^4*$F$11*$H$18</t>
  </si>
  <si>
    <t>$F$11= hohe Dichte 0.05 hoher Schleierwolken</t>
  </si>
  <si>
    <t>Für die hohe Dichte von 0.05 wird ein Multiplikationsfaktor von $H$18=1.95 nominell geschätzt</t>
  </si>
  <si>
    <t>ß = geograph. Breite</t>
  </si>
  <si>
    <r>
      <t>↓</t>
    </r>
    <r>
      <rPr>
        <b/>
        <sz val="9.9"/>
        <color indexed="30"/>
        <rFont val="Calibri"/>
        <family val="2"/>
      </rPr>
      <t xml:space="preserve"> </t>
    </r>
    <r>
      <rPr>
        <b/>
        <sz val="11"/>
        <color indexed="30"/>
        <rFont val="Calibri"/>
        <family val="2"/>
      </rPr>
      <t>=E106ff*$C106ff*$F87</t>
    </r>
  </si>
  <si>
    <r>
      <t>↓</t>
    </r>
    <r>
      <rPr>
        <b/>
        <sz val="9.9"/>
        <color indexed="30"/>
        <rFont val="Calibri"/>
        <family val="2"/>
      </rPr>
      <t xml:space="preserve"> </t>
    </r>
    <r>
      <rPr>
        <b/>
        <sz val="11"/>
        <color indexed="30"/>
        <rFont val="Calibri"/>
        <family val="2"/>
      </rPr>
      <t>=I106ff*$C106ff*$F89</t>
    </r>
  </si>
  <si>
    <r>
      <t>↓</t>
    </r>
    <r>
      <rPr>
        <b/>
        <sz val="9.9"/>
        <color indexed="30"/>
        <rFont val="Calibri"/>
        <family val="2"/>
      </rPr>
      <t xml:space="preserve"> </t>
    </r>
    <r>
      <rPr>
        <b/>
        <sz val="11"/>
        <color indexed="30"/>
        <rFont val="Calibri"/>
        <family val="2"/>
      </rPr>
      <t>=F106ff*$C106ff*$F87</t>
    </r>
  </si>
  <si>
    <r>
      <t>↓</t>
    </r>
    <r>
      <rPr>
        <b/>
        <sz val="9.9"/>
        <color indexed="30"/>
        <rFont val="Calibri"/>
        <family val="2"/>
      </rPr>
      <t xml:space="preserve"> </t>
    </r>
    <r>
      <rPr>
        <b/>
        <sz val="11"/>
        <color indexed="30"/>
        <rFont val="Calibri"/>
        <family val="2"/>
      </rPr>
      <t>=H106ff*$C106ff*$F88</t>
    </r>
  </si>
  <si>
    <r>
      <t>↓</t>
    </r>
    <r>
      <rPr>
        <b/>
        <sz val="9.9"/>
        <color indexed="30"/>
        <rFont val="Calibri"/>
        <family val="2"/>
      </rPr>
      <t xml:space="preserve"> </t>
    </r>
    <r>
      <rPr>
        <b/>
        <sz val="11"/>
        <color indexed="30"/>
        <rFont val="Calibri"/>
        <family val="2"/>
      </rPr>
      <t>=J106ff*$C106ff*$F89</t>
    </r>
  </si>
  <si>
    <r>
      <rPr>
        <b/>
        <sz val="11"/>
        <color indexed="10"/>
        <rFont val="Calibri"/>
        <family val="2"/>
      </rPr>
      <t>↓</t>
    </r>
    <r>
      <rPr>
        <b/>
        <sz val="11"/>
        <color indexed="10"/>
        <rFont val="Calibri"/>
        <family val="2"/>
      </rPr>
      <t xml:space="preserve">Daraus erfolgende Temperaturerhöhung </t>
    </r>
  </si>
  <si>
    <t xml:space="preserve">     bezogen auf die ganze Erdoberfäche</t>
  </si>
  <si>
    <r>
      <t xml:space="preserve">Wichtungsfaktor 45-90° </t>
    </r>
    <r>
      <rPr>
        <sz val="11"/>
        <color indexed="8"/>
        <rFont val="Calibri"/>
        <family val="2"/>
      </rPr>
      <t>↓</t>
    </r>
  </si>
  <si>
    <t xml:space="preserve">     bezogen nur auf den Bereich von 45 - 90 Grad</t>
  </si>
  <si>
    <t xml:space="preserve">Die Endergebnisse sind von den gewählten Parametern abhängig, die nur ungenügend bekannt sind. </t>
  </si>
  <si>
    <t xml:space="preserve">      auf die ganze Erdoberfäche</t>
  </si>
  <si>
    <r>
      <rPr>
        <b/>
        <sz val="11"/>
        <color indexed="60"/>
        <rFont val="Calibri"/>
        <family val="2"/>
      </rPr>
      <t>↓</t>
    </r>
    <r>
      <rPr>
        <b/>
        <sz val="11"/>
        <color indexed="60"/>
        <rFont val="Calibri"/>
        <family val="2"/>
      </rPr>
      <t>Temperaturerhöhung bezogen</t>
    </r>
  </si>
  <si>
    <t xml:space="preserve">     auf den Bereich von 45 - 90 Grad</t>
  </si>
  <si>
    <t>0.16 / 0.51</t>
  </si>
  <si>
    <t>0.72 / 2.32</t>
  </si>
  <si>
    <t>0.54 / 1.75</t>
  </si>
  <si>
    <t>0.12 / 0.39</t>
  </si>
  <si>
    <t>0.14 / 0.45</t>
  </si>
  <si>
    <t>0.63 / 2.04</t>
  </si>
  <si>
    <t>0.17 / 0.54</t>
  </si>
  <si>
    <t>0.12 / 0.38</t>
  </si>
  <si>
    <t>0.53 / 1.69</t>
  </si>
  <si>
    <t>↓               (O76 bis Q76)                  ↓</t>
  </si>
  <si>
    <t>0.15 / 0.49</t>
  </si>
  <si>
    <t>0.69 / 2.22</t>
  </si>
  <si>
    <t>0.77 / 2.47</t>
  </si>
  <si>
    <t>0.11 / 0.37</t>
  </si>
  <si>
    <t>0.51 / 1.65</t>
  </si>
  <si>
    <t>0.14 / 0.44</t>
  </si>
  <si>
    <t>0.62 / 1.99</t>
  </si>
  <si>
    <t>0.15 /  0.47</t>
  </si>
  <si>
    <t>0.66 / 2.14</t>
  </si>
  <si>
    <t>↓       Variation Eisbedeckung        ↓</t>
  </si>
  <si>
    <t>A0</t>
  </si>
  <si>
    <t>B0</t>
  </si>
  <si>
    <t>C0</t>
  </si>
  <si>
    <t>A1</t>
  </si>
  <si>
    <t>B1</t>
  </si>
  <si>
    <t>C1</t>
  </si>
  <si>
    <t>B2</t>
  </si>
  <si>
    <t>C2</t>
  </si>
  <si>
    <t>variiert Reflexion 60° = 0.1</t>
  </si>
  <si>
    <t>variiert Reflexion 65° = 0.4</t>
  </si>
  <si>
    <t>A2</t>
  </si>
  <si>
    <r>
      <rPr>
        <b/>
        <sz val="11"/>
        <color indexed="10"/>
        <rFont val="Calibri"/>
        <family val="2"/>
      </rPr>
      <t>B2)</t>
    </r>
    <r>
      <rPr>
        <b/>
        <sz val="11"/>
        <color indexed="8"/>
        <rFont val="Calibri"/>
        <family val="2"/>
      </rPr>
      <t xml:space="preserve"> klarer Himmel mit Kumuluswolken wie B0), aber zusätzlich  Schleierbewölkung </t>
    </r>
    <r>
      <rPr>
        <b/>
        <sz val="11"/>
        <color indexed="10"/>
        <rFont val="Calibri"/>
        <family val="2"/>
      </rPr>
      <t>(hohe Dichte 0.05)</t>
    </r>
    <r>
      <rPr>
        <b/>
        <sz val="11"/>
        <color indexed="8"/>
        <rFont val="Calibri"/>
        <family val="2"/>
      </rPr>
      <t xml:space="preserve"> durch Flugverkehr in ca. 11 km Höhe (Temperaturschicht -55 °C)</t>
    </r>
  </si>
  <si>
    <r>
      <rPr>
        <b/>
        <sz val="11"/>
        <color indexed="10"/>
        <rFont val="Calibri"/>
        <family val="2"/>
      </rPr>
      <t>C2)</t>
    </r>
    <r>
      <rPr>
        <b/>
        <sz val="11"/>
        <color indexed="8"/>
        <rFont val="Calibri"/>
        <family val="2"/>
      </rPr>
      <t xml:space="preserve"> permanent niedrige Bewölkung, aber zusätzlich Schleierbewölkung </t>
    </r>
    <r>
      <rPr>
        <b/>
        <sz val="11"/>
        <color indexed="10"/>
        <rFont val="Calibri"/>
        <family val="2"/>
      </rPr>
      <t xml:space="preserve">(hohe Dichte 0.01) </t>
    </r>
    <r>
      <rPr>
        <b/>
        <sz val="11"/>
        <color indexed="8"/>
        <rFont val="Calibri"/>
        <family val="2"/>
      </rPr>
      <t>durch Flugverkehr in ca. 11 km Höhe (Temperaturschicht -55 °C)</t>
    </r>
  </si>
  <si>
    <r>
      <rPr>
        <b/>
        <sz val="11"/>
        <color indexed="10"/>
        <rFont val="Calibri"/>
        <family val="2"/>
      </rPr>
      <t xml:space="preserve">A2) </t>
    </r>
    <r>
      <rPr>
        <b/>
        <sz val="11"/>
        <color indexed="8"/>
        <rFont val="Calibri"/>
        <family val="2"/>
      </rPr>
      <t xml:space="preserve">klarer Himmel wie a) aber zusätzlich Schleierbewölkung </t>
    </r>
    <r>
      <rPr>
        <b/>
        <sz val="11"/>
        <color indexed="10"/>
        <rFont val="Calibri"/>
        <family val="2"/>
      </rPr>
      <t>(hohe Dichte 0.05)</t>
    </r>
    <r>
      <rPr>
        <b/>
        <sz val="11"/>
        <color indexed="8"/>
        <rFont val="Calibri"/>
        <family val="2"/>
      </rPr>
      <t xml:space="preserve"> durch Flugverkehr in ca. 11 km Höhe (Temperaturschicht -55 °C)</t>
    </r>
  </si>
  <si>
    <r>
      <rPr>
        <b/>
        <sz val="11"/>
        <color indexed="10"/>
        <rFont val="Calibri"/>
        <family val="2"/>
      </rPr>
      <t xml:space="preserve">C2) </t>
    </r>
    <r>
      <rPr>
        <b/>
        <sz val="11"/>
        <color indexed="8"/>
        <rFont val="Calibri"/>
        <family val="2"/>
      </rPr>
      <t xml:space="preserve">permanent niedrige Bewölkung, aber zusätzlich Schleierbewölkung </t>
    </r>
    <r>
      <rPr>
        <b/>
        <sz val="11"/>
        <color indexed="10"/>
        <rFont val="Calibri"/>
        <family val="2"/>
      </rPr>
      <t>(hohe Dichte 0.05)</t>
    </r>
    <r>
      <rPr>
        <b/>
        <sz val="11"/>
        <color indexed="8"/>
        <rFont val="Calibri"/>
        <family val="2"/>
      </rPr>
      <t xml:space="preserve"> durch Flugverkehr in ca. 11 km Höhe (Temperaturschicht -55 °C)</t>
    </r>
  </si>
  <si>
    <r>
      <rPr>
        <b/>
        <sz val="11"/>
        <color indexed="10"/>
        <rFont val="Calibri"/>
        <family val="2"/>
      </rPr>
      <t>A2)</t>
    </r>
    <r>
      <rPr>
        <b/>
        <sz val="11"/>
        <color indexed="8"/>
        <rFont val="Calibri"/>
        <family val="2"/>
      </rPr>
      <t xml:space="preserve"> klarer Himmel wie a) aber zusätzlich Schleierbewölkung </t>
    </r>
    <r>
      <rPr>
        <b/>
        <sz val="11"/>
        <color indexed="10"/>
        <rFont val="Calibri"/>
        <family val="2"/>
      </rPr>
      <t>(hohe Dichte 0.05)</t>
    </r>
    <r>
      <rPr>
        <b/>
        <sz val="11"/>
        <color indexed="8"/>
        <rFont val="Calibri"/>
        <family val="2"/>
      </rPr>
      <t xml:space="preserve"> durch Flugverkehr in ca. 11 km Höhe (Temperaturschicht -55 °C)</t>
    </r>
  </si>
  <si>
    <r>
      <rPr>
        <b/>
        <sz val="11"/>
        <color indexed="10"/>
        <rFont val="Calibri"/>
        <family val="2"/>
      </rPr>
      <t>C2)</t>
    </r>
    <r>
      <rPr>
        <b/>
        <sz val="11"/>
        <color indexed="8"/>
        <rFont val="Calibri"/>
        <family val="2"/>
      </rPr>
      <t xml:space="preserve"> permanent niedrige Bewölkung, aber zusätzlich Schleierbewölkung </t>
    </r>
    <r>
      <rPr>
        <b/>
        <sz val="11"/>
        <color indexed="10"/>
        <rFont val="Calibri"/>
        <family val="2"/>
      </rPr>
      <t>(hohe Dichte 0.05)</t>
    </r>
    <r>
      <rPr>
        <b/>
        <sz val="11"/>
        <color indexed="8"/>
        <rFont val="Calibri"/>
        <family val="2"/>
      </rPr>
      <t xml:space="preserve"> durch Flugverkehr in ca. 11 km Höhe (Temperaturschicht -55 °C)</t>
    </r>
  </si>
  <si>
    <r>
      <rPr>
        <b/>
        <sz val="11"/>
        <color indexed="10"/>
        <rFont val="Calibri"/>
        <family val="2"/>
      </rPr>
      <t>A2)</t>
    </r>
    <r>
      <rPr>
        <b/>
        <sz val="11"/>
        <color indexed="8"/>
        <rFont val="Calibri"/>
        <family val="2"/>
      </rPr>
      <t xml:space="preserve"> klarer Himmel wie a) aber zusätzlich Schleierbewölkung </t>
    </r>
    <r>
      <rPr>
        <b/>
        <sz val="11"/>
        <color indexed="10"/>
        <rFont val="Calibri"/>
        <family val="2"/>
      </rPr>
      <t xml:space="preserve">(hohe Dichte 0.05) </t>
    </r>
    <r>
      <rPr>
        <b/>
        <sz val="11"/>
        <color indexed="8"/>
        <rFont val="Calibri"/>
        <family val="2"/>
      </rPr>
      <t>durch Flugverkehr in ca. 11 km Höhe (Temperaturschicht -55 °C)</t>
    </r>
  </si>
  <si>
    <r>
      <rPr>
        <b/>
        <sz val="11"/>
        <color indexed="10"/>
        <rFont val="Calibri"/>
        <family val="2"/>
      </rPr>
      <t>B2)</t>
    </r>
    <r>
      <rPr>
        <b/>
        <sz val="11"/>
        <color indexed="8"/>
        <rFont val="Calibri"/>
        <family val="2"/>
      </rPr>
      <t xml:space="preserve"> klarer Himmel mit Kumuluswolken wie B0), aber zusätzlich  Schleierbewölkung </t>
    </r>
    <r>
      <rPr>
        <b/>
        <sz val="11"/>
        <color indexed="10"/>
        <rFont val="Calibri"/>
        <family val="2"/>
      </rPr>
      <t xml:space="preserve">(hohe Dichte 0.05) </t>
    </r>
    <r>
      <rPr>
        <b/>
        <sz val="11"/>
        <color indexed="8"/>
        <rFont val="Calibri"/>
        <family val="2"/>
      </rPr>
      <t>durch Flugverkehr in ca. 11 km Höhe (Temperaturschicht -55 °C)</t>
    </r>
  </si>
  <si>
    <r>
      <rPr>
        <b/>
        <sz val="11"/>
        <color indexed="10"/>
        <rFont val="Calibri"/>
        <family val="2"/>
      </rPr>
      <t xml:space="preserve">B2) </t>
    </r>
    <r>
      <rPr>
        <b/>
        <sz val="11"/>
        <color indexed="8"/>
        <rFont val="Calibri"/>
        <family val="2"/>
      </rPr>
      <t xml:space="preserve">klarer Himmel mit Kumuluswolken wie B0), aber zusätzlich  Schleierbewölkung </t>
    </r>
    <r>
      <rPr>
        <b/>
        <sz val="11"/>
        <color indexed="10"/>
        <rFont val="Calibri"/>
        <family val="2"/>
      </rPr>
      <t>(hohe Dichte 0.05)</t>
    </r>
    <r>
      <rPr>
        <b/>
        <sz val="11"/>
        <color indexed="8"/>
        <rFont val="Calibri"/>
        <family val="2"/>
      </rPr>
      <t xml:space="preserve"> durch Flugverkehr in ca. 11 km Höhe (Temperaturschicht -55 °C)</t>
    </r>
  </si>
  <si>
    <r>
      <rPr>
        <b/>
        <sz val="11"/>
        <color indexed="10"/>
        <rFont val="Calibri"/>
        <family val="2"/>
      </rPr>
      <t>C2)</t>
    </r>
    <r>
      <rPr>
        <b/>
        <sz val="11"/>
        <color indexed="8"/>
        <rFont val="Calibri"/>
        <family val="2"/>
      </rPr>
      <t xml:space="preserve"> permanent niedrige Bewölkung, aber zusätzlich Schleierbewölkung </t>
    </r>
    <r>
      <rPr>
        <b/>
        <sz val="11"/>
        <color indexed="10"/>
        <rFont val="Calibri"/>
        <family val="2"/>
      </rPr>
      <t xml:space="preserve">(hohe Dichte 0.05) </t>
    </r>
    <r>
      <rPr>
        <b/>
        <sz val="11"/>
        <color indexed="8"/>
        <rFont val="Calibri"/>
        <family val="2"/>
      </rPr>
      <t>durch Flugverkehr in ca. 11 km Höhe (Temperaturschicht -55 °C)</t>
    </r>
  </si>
  <si>
    <r>
      <rPr>
        <b/>
        <sz val="11"/>
        <color indexed="10"/>
        <rFont val="Calibri"/>
        <family val="2"/>
      </rPr>
      <t>B2)</t>
    </r>
    <r>
      <rPr>
        <b/>
        <sz val="11"/>
        <color indexed="8"/>
        <rFont val="Calibri"/>
        <family val="2"/>
      </rPr>
      <t xml:space="preserve"> klarer Himmel mit Kumuluswolken wie B0), aber zusätzlich  Schleierbewölkung</t>
    </r>
    <r>
      <rPr>
        <b/>
        <sz val="11"/>
        <color indexed="10"/>
        <rFont val="Calibri"/>
        <family val="2"/>
      </rPr>
      <t xml:space="preserve"> (hohe Dichte 0.05)</t>
    </r>
    <r>
      <rPr>
        <b/>
        <sz val="11"/>
        <color indexed="8"/>
        <rFont val="Calibri"/>
        <family val="2"/>
      </rPr>
      <t xml:space="preserve"> durch Flugverkehr in ca. 11 km Höhe (Temperaturschicht -55 °C)</t>
    </r>
  </si>
  <si>
    <r>
      <rPr>
        <b/>
        <sz val="11"/>
        <color indexed="10"/>
        <rFont val="Calibri"/>
        <family val="2"/>
      </rPr>
      <t>A2)</t>
    </r>
    <r>
      <rPr>
        <b/>
        <sz val="11"/>
        <color indexed="8"/>
        <rFont val="Calibri"/>
        <family val="2"/>
      </rPr>
      <t xml:space="preserve"> klarer Himmel wie </t>
    </r>
    <r>
      <rPr>
        <b/>
        <sz val="11"/>
        <color indexed="10"/>
        <rFont val="Calibri"/>
        <family val="2"/>
      </rPr>
      <t>AO)</t>
    </r>
    <r>
      <rPr>
        <b/>
        <sz val="11"/>
        <color indexed="8"/>
        <rFont val="Calibri"/>
        <family val="2"/>
      </rPr>
      <t xml:space="preserve"> aber zusätzlich Schleierbewölkung (</t>
    </r>
    <r>
      <rPr>
        <b/>
        <sz val="11"/>
        <color indexed="10"/>
        <rFont val="Calibri"/>
        <family val="2"/>
      </rPr>
      <t>hohe Dichte 0.05</t>
    </r>
    <r>
      <rPr>
        <b/>
        <sz val="11"/>
        <color indexed="8"/>
        <rFont val="Calibri"/>
        <family val="2"/>
      </rPr>
      <t>) durch Flugverkehr in ca. 11 km Höhe (Temperaturschicht -55 °C)</t>
    </r>
  </si>
  <si>
    <r>
      <t>Summe A2) →</t>
    </r>
    <r>
      <rPr>
        <b/>
        <sz val="11"/>
        <color indexed="17"/>
        <rFont val="Calibri"/>
        <family val="2"/>
      </rPr>
      <t xml:space="preserve"> (nur grüne Zahlen)</t>
    </r>
  </si>
  <si>
    <r>
      <t xml:space="preserve">Summe B2) → </t>
    </r>
    <r>
      <rPr>
        <b/>
        <sz val="11"/>
        <color indexed="17"/>
        <rFont val="Calibri"/>
        <family val="2"/>
      </rPr>
      <t>(nur grüne Zahlen)</t>
    </r>
  </si>
  <si>
    <r>
      <t xml:space="preserve">Summe C2) → </t>
    </r>
    <r>
      <rPr>
        <b/>
        <sz val="11"/>
        <color indexed="17"/>
        <rFont val="Calibri"/>
        <family val="2"/>
      </rPr>
      <t>(nur grüne Zahlen)</t>
    </r>
  </si>
  <si>
    <t>Die Zahlen geben die berechneten jeweiligen Energieabgaben für die Breitengrade 60° und 65° an,</t>
  </si>
  <si>
    <t>der Bodenreflektivität von 0.4 auf 0.1 sowie bei 65° Breite einen Rückgang von 0.7 auf 0.4 verursacht.</t>
  </si>
  <si>
    <t xml:space="preserve">unter der Annahme, dass der Rückgang der Eis/Schneebedeckungen bei 60 ° Breite einen Rückgang </t>
  </si>
  <si>
    <t xml:space="preserve">Die Differenzen sind: </t>
  </si>
  <si>
    <r>
      <rPr>
        <b/>
        <sz val="11"/>
        <color indexed="10"/>
        <rFont val="Calibri"/>
        <family val="2"/>
      </rPr>
      <t>A0 bei 60°:</t>
    </r>
    <r>
      <rPr>
        <sz val="11"/>
        <color theme="1"/>
        <rFont val="Calibri"/>
        <family val="2"/>
        <scheme val="minor"/>
      </rPr>
      <t xml:space="preserve"> 427.62 - 362.24 =</t>
    </r>
  </si>
  <si>
    <r>
      <rPr>
        <b/>
        <sz val="11"/>
        <color indexed="10"/>
        <rFont val="Calibri"/>
        <family val="2"/>
      </rPr>
      <t xml:space="preserve">B0 bei 60°: </t>
    </r>
    <r>
      <rPr>
        <sz val="11"/>
        <color theme="1"/>
        <rFont val="Calibri"/>
        <family val="2"/>
        <scheme val="minor"/>
      </rPr>
      <t>460.82 - 439.99 =</t>
    </r>
  </si>
  <si>
    <r>
      <rPr>
        <b/>
        <sz val="11"/>
        <color indexed="10"/>
        <rFont val="Calibri"/>
        <family val="2"/>
      </rPr>
      <t>A0 bei 65°:</t>
    </r>
    <r>
      <rPr>
        <sz val="11"/>
        <color theme="1"/>
        <rFont val="Calibri"/>
        <family val="2"/>
        <scheme val="minor"/>
      </rPr>
      <t xml:space="preserve"> 445.51 - 390.27 =</t>
    </r>
  </si>
  <si>
    <r>
      <rPr>
        <b/>
        <sz val="11"/>
        <color indexed="10"/>
        <rFont val="Calibri"/>
        <family val="2"/>
      </rPr>
      <t>B0 bei 65°:</t>
    </r>
    <r>
      <rPr>
        <sz val="11"/>
        <color theme="1"/>
        <rFont val="Calibri"/>
        <family val="2"/>
        <scheme val="minor"/>
      </rPr>
      <t xml:space="preserve"> 440.09 - 422.49 =</t>
    </r>
  </si>
  <si>
    <t>C0: kein Bodeneinfluss  (permanente Bewölkung)</t>
  </si>
  <si>
    <r>
      <t>↓</t>
    </r>
    <r>
      <rPr>
        <b/>
        <sz val="9.9"/>
        <color indexed="30"/>
        <rFont val="Calibri"/>
        <family val="2"/>
      </rPr>
      <t xml:space="preserve"> </t>
    </r>
    <r>
      <rPr>
        <b/>
        <sz val="11"/>
        <color indexed="30"/>
        <rFont val="Calibri"/>
        <family val="2"/>
      </rPr>
      <t>=G106ff*$C106ff*$F88</t>
    </r>
  </si>
  <si>
    <t>Daraus berechnete zusätzliche Temperaturerhöhung, global gemittelt:</t>
  </si>
  <si>
    <t>multtipliziert mit Wichtungsfaktor</t>
  </si>
  <si>
    <t>A0 / 60°</t>
  </si>
  <si>
    <t>B0 / 60°</t>
  </si>
  <si>
    <t>A0 / 65°</t>
  </si>
  <si>
    <t>B0 / 65°</t>
  </si>
  <si>
    <t>Gesamt:</t>
  </si>
  <si>
    <r>
      <t>W/m</t>
    </r>
    <r>
      <rPr>
        <b/>
        <vertAlign val="superscript"/>
        <sz val="11"/>
        <color indexed="60"/>
        <rFont val="Calibri"/>
        <family val="2"/>
      </rPr>
      <t>2</t>
    </r>
  </si>
  <si>
    <t>Hier wird der zusätzliche Effekt der Reduzierung von Eis- und Schneebedeckung näher untersucht</t>
  </si>
  <si>
    <r>
      <t>ergibt mit 0.19 °C pro Watt/m</t>
    </r>
    <r>
      <rPr>
        <b/>
        <vertAlign val="superscript"/>
        <sz val="11"/>
        <color indexed="60"/>
        <rFont val="Calibri"/>
        <family val="2"/>
      </rPr>
      <t>2</t>
    </r>
    <r>
      <rPr>
        <b/>
        <sz val="11"/>
        <color indexed="60"/>
        <rFont val="Calibri"/>
        <family val="2"/>
      </rPr>
      <t xml:space="preserve"> eine zusätzliche Temperaturerhöhung durch Rückgang der Schnee/Eisbedeckung von</t>
    </r>
  </si>
  <si>
    <r>
      <t>W/m</t>
    </r>
    <r>
      <rPr>
        <vertAlign val="superscript"/>
        <sz val="11"/>
        <color indexed="8"/>
        <rFont val="Calibri"/>
        <family val="2"/>
      </rPr>
      <t>2</t>
    </r>
  </si>
  <si>
    <t>nominell Reflexion 60° = 0.4</t>
  </si>
  <si>
    <t>nominell Reflexion 65° = 0.7</t>
  </si>
  <si>
    <r>
      <t xml:space="preserve">Die Werte unten ↓ in </t>
    </r>
    <r>
      <rPr>
        <b/>
        <sz val="11"/>
        <color indexed="30"/>
        <rFont val="Calibri"/>
        <family val="2"/>
      </rPr>
      <t>blau</t>
    </r>
    <r>
      <rPr>
        <sz val="11"/>
        <color theme="1"/>
        <rFont val="Calibri"/>
        <family val="2"/>
        <scheme val="minor"/>
      </rPr>
      <t xml:space="preserve"> sind linear interpolierte Werte aus der Tabelle links </t>
    </r>
  </si>
  <si>
    <t>Leider habe ich  keine allgemeingültige Formel gefunden, aus der man die Absorptionswerte für beliebige Winkel berechnen kann</t>
  </si>
  <si>
    <r>
      <t xml:space="preserve">Beispielsweise sind die Werte für </t>
    </r>
    <r>
      <rPr>
        <b/>
        <sz val="11"/>
        <color indexed="10"/>
        <rFont val="Calibri"/>
        <family val="2"/>
      </rPr>
      <t>39.41</t>
    </r>
    <r>
      <rPr>
        <sz val="11"/>
        <color indexed="8"/>
        <rFont val="Calibri"/>
        <family val="2"/>
      </rPr>
      <t xml:space="preserve"> Grad Einfallswinkel unten eine Interpolation zwischen den Werten für </t>
    </r>
    <r>
      <rPr>
        <b/>
        <sz val="11"/>
        <color indexed="60"/>
        <rFont val="Calibri"/>
        <family val="2"/>
      </rPr>
      <t xml:space="preserve">36.03 </t>
    </r>
    <r>
      <rPr>
        <sz val="11"/>
        <color indexed="8"/>
        <rFont val="Calibri"/>
        <family val="2"/>
      </rPr>
      <t xml:space="preserve">und </t>
    </r>
    <r>
      <rPr>
        <b/>
        <sz val="11"/>
        <color indexed="60"/>
        <rFont val="Calibri"/>
        <family val="2"/>
      </rPr>
      <t>45°</t>
    </r>
    <r>
      <rPr>
        <sz val="11"/>
        <color indexed="8"/>
        <rFont val="Calibri"/>
        <family val="2"/>
      </rPr>
      <t xml:space="preserve"> links</t>
    </r>
  </si>
  <si>
    <r>
      <rPr>
        <b/>
        <sz val="11"/>
        <color indexed="60"/>
        <rFont val="Calibri"/>
        <family val="2"/>
      </rPr>
      <t>↓ unkorrigierte Absorption für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indexed="10"/>
        <rFont val="Calibri"/>
        <family val="2"/>
      </rPr>
      <t>A0=0.01</t>
    </r>
  </si>
  <si>
    <r>
      <rPr>
        <b/>
        <sz val="11"/>
        <color indexed="60"/>
        <rFont val="Calibri"/>
        <family val="2"/>
      </rPr>
      <t>↓ Unkorrigierte Absorption  für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A0=0.05</t>
    </r>
  </si>
  <si>
    <t>(=J79/0.01)</t>
  </si>
  <si>
    <t>(=N79/0.05)</t>
  </si>
  <si>
    <t>(=R79/0.2)</t>
  </si>
  <si>
    <r>
      <t>=((F$84-F$94)*E85</t>
    </r>
    <r>
      <rPr>
        <sz val="10"/>
        <rFont val="Calibri"/>
        <family val="2"/>
      </rPr>
      <t>|</t>
    </r>
    <r>
      <rPr>
        <sz val="10"/>
        <rFont val="Calibri"/>
        <family val="2"/>
      </rPr>
      <t>86|87+(F$94-E$84)*F85|86|87)/(F$84-E$84)</t>
    </r>
  </si>
  <si>
    <r>
      <t>=((2.53-2.5)*0.275</t>
    </r>
    <r>
      <rPr>
        <sz val="10"/>
        <color indexed="8"/>
        <rFont val="Calibri"/>
        <family val="2"/>
      </rPr>
      <t>|..</t>
    </r>
    <r>
      <rPr>
        <sz val="10"/>
        <color indexed="8"/>
        <rFont val="Calibri"/>
        <family val="2"/>
      </rPr>
      <t>+(2.5-1.79)*0.2009|..)/(2.53-1.79)</t>
    </r>
  </si>
  <si>
    <t>=((J$84-G$94)*I85|..+(G$94-I$84)*J85|..)/(J$84-I$84)</t>
  </si>
  <si>
    <t>=((K$84-H$94)*J85|..+(H$94-J$84)*K85|..)/(K$84-J$84)</t>
  </si>
  <si>
    <t>=((L$84-I$94)*K85|..+(I$94-K$84)*l85|..)/(l$84-K$84)</t>
  </si>
  <si>
    <t>=((M$84-J$94)*L85|..+(J$94-L$84)*M85|..)/(M$84-L$84)</t>
  </si>
  <si>
    <t>=((N$84-K$94)*M85|..+(K$94-M$84)*N85|..)/(N$84-M$84)</t>
  </si>
  <si>
    <t>=((O$84-L$94)*N85|..+(L$94-N$84)*O85|..)/(O$84-N$84)</t>
  </si>
  <si>
    <t>=((P$84-M$94)*O85|..+(M$94-O$84)*P85|..)/(P$84-O$84)</t>
  </si>
  <si>
    <t>=((P$84-N$94)*O85|..+(N$94-O$84)*P85|..)/(P$84-O$84)</t>
  </si>
  <si>
    <t>=((Q$84-O$94)*P85|..+(O$94-P$84)*Q85|..)/(Q$84-P$84)</t>
  </si>
  <si>
    <t>=((Q$84-P$94)*P85|..+(P$94-P$84)*Q85|..)/(Q$84-P$84)</t>
  </si>
  <si>
    <t>=((Q$84-Q$94)*P85|..+(Q$94-P$84)*Q85|..)/(Q$84-P$84)</t>
  </si>
  <si>
    <t>=((Q$84-R$94)*P85|..+(R$94-P$84)*Q85|..)/(Q$84-P$84)</t>
  </si>
  <si>
    <t>=((Q$84-S$94)*P85|..+(S$94-P$84)*Q85|..)/(Q$84-P$84)</t>
  </si>
  <si>
    <t>=((Q$84-T$94)*P85|..+(T$94-P$84)*Q85|..)/(Q$84-P$84)</t>
  </si>
  <si>
    <t>=((Q$84-U$94)*P85|..+(U$94-P$84)*Q85|..)/(Q$84-P$84)</t>
  </si>
  <si>
    <t>=((Q$84-V$94)*P85|..+(V$94-P$84)*Q85|..)/(Q$84-P$84)</t>
  </si>
  <si>
    <t>=((Q$84-W$94)*P85|..+(W$94-P$84)*Q85|..)/(Q$84-P$84)</t>
  </si>
  <si>
    <t>ist noch nicht berechnet</t>
  </si>
  <si>
    <t>in  Tabelle4 berechnet</t>
  </si>
  <si>
    <t>in dieser Tabelle2 berechnet</t>
  </si>
  <si>
    <t>der Eisbedeckung</t>
  </si>
  <si>
    <t xml:space="preserve">Beispiel für Einfluss </t>
  </si>
  <si>
    <t xml:space="preserve">im Beispiel wird angenommen, </t>
  </si>
  <si>
    <t>dass die Bodenreflektivität</t>
  </si>
  <si>
    <t xml:space="preserve">aufgrund verminderter </t>
  </si>
  <si>
    <t xml:space="preserve">Eisbedeckung sich im Bereich </t>
  </si>
  <si>
    <t>60° von 0,4 auf 0.1 und im Bereich</t>
  </si>
  <si>
    <t>65° von 0.7 auf 0.4 verändert</t>
  </si>
  <si>
    <t>Die Berechnung selbst, sowie Erläuterungen zu diesen Berechnungen finden in den Tabellen2 und 4 statt.</t>
  </si>
  <si>
    <t>Modell mit Kumulusbewölkung mit Obergrenze -5°C (ca. 3000m) von 10-16 Uhr  (Standard)</t>
  </si>
  <si>
    <t>↓ Vergrößerung Weglänge durch Dunstschicht</t>
  </si>
  <si>
    <t>3. Berechnung der tatsächlichen Absorption als Funktion des Sonnenwinkels</t>
  </si>
  <si>
    <r>
      <rPr>
        <b/>
        <sz val="11"/>
        <color indexed="10"/>
        <rFont val="Calibri"/>
        <family val="2"/>
      </rPr>
      <t>A1)</t>
    </r>
    <r>
      <rPr>
        <b/>
        <sz val="11"/>
        <color indexed="8"/>
        <rFont val="Calibri"/>
        <family val="2"/>
      </rPr>
      <t xml:space="preserve"> klarer Himmel wie </t>
    </r>
    <r>
      <rPr>
        <b/>
        <sz val="11"/>
        <color indexed="10"/>
        <rFont val="Calibri"/>
        <family val="2"/>
      </rPr>
      <t>A0)</t>
    </r>
    <r>
      <rPr>
        <b/>
        <sz val="11"/>
        <color indexed="8"/>
        <rFont val="Calibri"/>
        <family val="2"/>
      </rPr>
      <t xml:space="preserve"> aber zusätzlich Schleierbewölkung (</t>
    </r>
    <r>
      <rPr>
        <b/>
        <sz val="11"/>
        <color indexed="10"/>
        <rFont val="Calibri"/>
        <family val="2"/>
      </rPr>
      <t>niedrige Dichte 0.01</t>
    </r>
    <r>
      <rPr>
        <b/>
        <sz val="11"/>
        <color indexed="8"/>
        <rFont val="Calibri"/>
        <family val="2"/>
      </rPr>
      <t>) durch Flugverkehr in ca. 11 km Höhe (Temperaturschicht -55 °C)</t>
    </r>
  </si>
  <si>
    <t xml:space="preserve">Effektive Dichte X bedeutet also, dass X*$F$16 nach oben und X*(1-($F$16+Absorption)) nach unten gestreut wird, </t>
  </si>
  <si>
    <t>der Rest geht ungehindert durch. Standardwert für $F$16 (Reflektivität Schleierwolken) ist 0.5, Standardwert für Absorption solar 0.01</t>
  </si>
  <si>
    <r>
      <t xml:space="preserve">daher erhöht sich dann die </t>
    </r>
    <r>
      <rPr>
        <b/>
        <sz val="11"/>
        <color indexed="8"/>
        <rFont val="Calibri"/>
        <family val="2"/>
      </rPr>
      <t>effektive</t>
    </r>
    <r>
      <rPr>
        <sz val="11"/>
        <color theme="1"/>
        <rFont val="Calibri"/>
        <family val="2"/>
        <scheme val="minor"/>
      </rPr>
      <t xml:space="preserve"> Dichte. Für die Rückstreu-Fähigkeit eines Dunstpartikels wird der Wert $F$16 (=$F$67 aus "Tabelle1") angenommen.</t>
    </r>
  </si>
  <si>
    <t xml:space="preserve">beziehen sich auf die  in meiner TN "Strahlaufteilung.pdf" idendifizierten Einzelbeiträge </t>
  </si>
  <si>
    <r>
      <t>Die braunrot gekennzeichneten Buchstaben</t>
    </r>
    <r>
      <rPr>
        <sz val="11"/>
        <color indexed="60"/>
        <rFont val="Calibri"/>
        <family val="2"/>
      </rPr>
      <t xml:space="preserve"> </t>
    </r>
    <r>
      <rPr>
        <b/>
        <sz val="11"/>
        <color indexed="60"/>
        <rFont val="Calibri"/>
        <family val="2"/>
      </rPr>
      <t>(A)</t>
    </r>
    <r>
      <rPr>
        <sz val="11"/>
        <color theme="1"/>
        <rFont val="Calibri"/>
        <family val="2"/>
        <scheme val="minor"/>
      </rPr>
      <t xml:space="preserve"> bis </t>
    </r>
    <r>
      <rPr>
        <b/>
        <sz val="11"/>
        <color indexed="60"/>
        <rFont val="Calibri"/>
        <family val="2"/>
      </rPr>
      <t>(Q)</t>
    </r>
    <r>
      <rPr>
        <sz val="11"/>
        <color theme="1"/>
        <rFont val="Calibri"/>
        <family val="2"/>
        <scheme val="minor"/>
      </rPr>
      <t xml:space="preserve"> hinter den </t>
    </r>
    <r>
      <rPr>
        <sz val="11"/>
        <rFont val="Calibri"/>
        <family val="2"/>
      </rPr>
      <t xml:space="preserve">Bezeichnungen für die durch </t>
    </r>
    <r>
      <rPr>
        <b/>
        <sz val="11"/>
        <color indexed="17"/>
        <rFont val="Calibri"/>
        <family val="2"/>
      </rPr>
      <t>Schleierwolken zusätzlich bedingten Einzelbeiträge</t>
    </r>
    <r>
      <rPr>
        <sz val="11"/>
        <color theme="1"/>
        <rFont val="Calibri"/>
        <family val="2"/>
        <scheme val="minor"/>
      </rPr>
      <t xml:space="preserve"> </t>
    </r>
  </si>
  <si>
    <t>Siehe Anmerkung1 Zeilen 172/173</t>
  </si>
  <si>
    <t>Generell: Variabel fortschreitende Werte, z.B. H$63 bis AE$63, werden nachfolgend im erläuternden Text mit Var$63 bezeichnet</t>
  </si>
  <si>
    <r>
      <t xml:space="preserve">Var$127=moment. Sonneneinstr. = </t>
    </r>
    <r>
      <rPr>
        <b/>
        <sz val="11"/>
        <color indexed="60"/>
        <rFont val="Calibri"/>
        <family val="2"/>
      </rPr>
      <t>(A)</t>
    </r>
  </si>
  <si>
    <t>=Var$127*Var$141*$F$16</t>
  </si>
  <si>
    <t>=Var$127*(1-($F$16+$F$13)*Var$141)</t>
  </si>
  <si>
    <r>
      <t>Var$127=</t>
    </r>
    <r>
      <rPr>
        <b/>
        <sz val="11"/>
        <color indexed="60"/>
        <rFont val="Calibri"/>
        <family val="2"/>
      </rPr>
      <t>(A)</t>
    </r>
  </si>
  <si>
    <t>=Var$127*Var$27*$F$15</t>
  </si>
  <si>
    <t>Var$127=moment. Sonneneinstr f. 45 ° Breite</t>
  </si>
  <si>
    <t>=moment. Sonneneinstr. (Var$127) * Refl.Boden ($O$20) * moment. Tramsmiss.-faktor Kumulus (Var$28) zum Quadrat (Strahlen müssen 2 x durch die Wolke)</t>
  </si>
  <si>
    <t>=Var$127*$O$20</t>
  </si>
  <si>
    <t>Var$127=momentane Sonnenintensität</t>
  </si>
  <si>
    <t>Var$127=moment. Sonneneinstrahlung</t>
  </si>
  <si>
    <t>=Var$127*$F$15</t>
  </si>
  <si>
    <t>Var$127=(A)</t>
  </si>
  <si>
    <r>
      <rPr>
        <b/>
        <sz val="14"/>
        <color indexed="60"/>
        <rFont val="Calibri"/>
        <family val="2"/>
      </rPr>
      <t xml:space="preserve">Achtung!!!: </t>
    </r>
    <r>
      <rPr>
        <b/>
        <sz val="11"/>
        <color indexed="60"/>
        <rFont val="Calibri"/>
        <family val="2"/>
      </rPr>
      <t>Es sollten hier in Tabelle4 keinerlei Zeilen verschoben werden, sonst stimmen die sich auf Zeilennummern beziehenden erläuternden Kommentare nicht mehr</t>
    </r>
  </si>
  <si>
    <t>342 W/m² mittlere Einstrahlung auf Erde</t>
  </si>
  <si>
    <t>=L115+M115+N115</t>
  </si>
  <si>
    <t>=O115+P115+Q115</t>
  </si>
  <si>
    <t>Differenz zu A0) →</t>
  </si>
  <si>
    <r>
      <rPr>
        <b/>
        <sz val="11"/>
        <color indexed="10"/>
        <rFont val="Calibri"/>
        <family val="2"/>
      </rPr>
      <t>C0)</t>
    </r>
    <r>
      <rPr>
        <b/>
        <sz val="11"/>
        <color indexed="8"/>
        <rFont val="Calibri"/>
        <family val="2"/>
      </rPr>
      <t xml:space="preserve"> permanent niedrige Bewölkung</t>
    </r>
  </si>
  <si>
    <t>einmal v. Weltraum aus *(1-Var$141*$F$16) und einmal v. Kumulus aus *(1-$H$142*$F$16)</t>
  </si>
  <si>
    <r>
      <t xml:space="preserve">doppelt von Boden oder Kumulus reflektierte Sonnenstrahlen durch Schleierw. hindurch </t>
    </r>
    <r>
      <rPr>
        <b/>
        <sz val="11"/>
        <color indexed="60"/>
        <rFont val="Calibri"/>
        <family val="2"/>
      </rPr>
      <t>(H)</t>
    </r>
  </si>
  <si>
    <r>
      <t xml:space="preserve">3-fach von Boden oder Kumulus reflektierte Sonnenstrahlen durch Schleierw. hindurch </t>
    </r>
    <r>
      <rPr>
        <b/>
        <sz val="11"/>
        <color indexed="60"/>
        <rFont val="Calibri"/>
        <family val="2"/>
      </rPr>
      <t>(K)</t>
    </r>
  </si>
  <si>
    <t>Sonnenstr. muss insges. 2*durch Schleierbewölkung, daher noch multipl. mit</t>
  </si>
  <si>
    <t>Wärmestrahlung der Kumulus-Wolken,  T= (°C)</t>
  </si>
  <si>
    <r>
      <t xml:space="preserve">Stokes`sches Gesetz: K=6 π </t>
    </r>
    <r>
      <rPr>
        <sz val="11"/>
        <color indexed="8"/>
        <rFont val="Calibri"/>
        <family val="2"/>
      </rPr>
      <t>η v r</t>
    </r>
  </si>
  <si>
    <t xml:space="preserve">Zähigkeit η von Luft bei 1 Atm. und 0 °C = 1,71E-4 g / (cm s) </t>
  </si>
  <si>
    <t>v = Geschwindigkeit</t>
  </si>
  <si>
    <t>Auflösung nach v:</t>
  </si>
  <si>
    <t>K ist = Gewicht, Dimension: 1 kg m / s^2 = 1 Newton,</t>
  </si>
  <si>
    <t>Mit Erdschwerkraft wirkt auf 1 kg die Kraft 9,81 kg m / s^2</t>
  </si>
  <si>
    <t>Gewicht in g</t>
  </si>
  <si>
    <t>v (cm / s)</t>
  </si>
  <si>
    <t>auf 1 g die Kraft 981 g cm / s^2</t>
  </si>
  <si>
    <t>cm</t>
  </si>
  <si>
    <t xml:space="preserve">v = 981 (g cm / s^2) / (6 * 3.14 * 1.71E-4 g / cm s * r) </t>
  </si>
  <si>
    <t>oder 3 π η v d</t>
  </si>
  <si>
    <t>µ</t>
  </si>
  <si>
    <t>Jahre</t>
  </si>
  <si>
    <t>Kraft (g cm / s^2)</t>
  </si>
  <si>
    <t>jeweils benötigt, um aufgrund von Schwerkraft eine Strecke von 1000 m in Luft zu sinken (bei 1 atm und 0°C)</t>
  </si>
  <si>
    <t>(Kugel mit Dichte 1)</t>
  </si>
  <si>
    <r>
      <t xml:space="preserve">Ergebnis: Partikel kleiner etwa 1 </t>
    </r>
    <r>
      <rPr>
        <b/>
        <sz val="11"/>
        <color indexed="10"/>
        <rFont val="Calibri"/>
        <family val="2"/>
      </rPr>
      <t>µ können sich länger als ein Jahr halten.</t>
    </r>
  </si>
  <si>
    <t xml:space="preserve"> bezogen auf die gesamte Erdoberfläche</t>
  </si>
  <si>
    <t>1/342 * 255/4 Grad = 0.19 Grad</t>
  </si>
  <si>
    <t>25% permanent niedriger Bewölkng und restliche 25% permanent  hoher Bewölkung ausgegangen, wobei der Beitrag letzterer 0 ist.</t>
  </si>
  <si>
    <t xml:space="preserve">Im vorliegender Berechnung wird deshalb standardmäßig von 30 % klar bleibendem Himmel, 20 % Kumulusbewölkung (nur zwischen 10 und 16 Uhr), </t>
  </si>
  <si>
    <t xml:space="preserve">Es wird angenommen, dass die Kumulusbewölkung ständig etwa 10% der Erde bedeckt. Da sie jedoch jeweils nur einige Stunden vorhanden ist, ist der Anteil der beteiligten </t>
  </si>
  <si>
    <t xml:space="preserve">Erdoberflächen entsprechend höher. Wenn diese niedrigen Wolken nur 6 von 24 Stunden vorhanden sind, beträgt dann der Anteil der beteiligten Flächen 4*10 % </t>
  </si>
  <si>
    <t>Andererseits wird in Berechnung B) angenommen, dass in den Zeiten der Kumuluswolken der gesamte Himmel damit bedeckt ist, statt nur etwa 50%. Der wahre Bedeckungsfaktor beträgt daher etwa 0.2</t>
  </si>
  <si>
    <r>
      <t xml:space="preserve">      </t>
    </r>
    <r>
      <rPr>
        <b/>
        <sz val="11"/>
        <color indexed="8"/>
        <rFont val="Calibri"/>
        <family val="2"/>
      </rPr>
      <t xml:space="preserve"> Schleierbewölkung durch Flugverkehr mit C1) 0.01 und C2) 0.05 Dichte. Die Werte A2), B2) und C2) sind in Tabelle4 berechnet</t>
    </r>
  </si>
  <si>
    <r>
      <t xml:space="preserve">Eingabeparameter (die </t>
    </r>
    <r>
      <rPr>
        <b/>
        <sz val="11"/>
        <color indexed="10"/>
        <rFont val="Calibri"/>
        <family val="2"/>
      </rPr>
      <t>rot</t>
    </r>
    <r>
      <rPr>
        <b/>
        <sz val="11"/>
        <color indexed="8"/>
        <rFont val="Calibri"/>
        <family val="2"/>
      </rPr>
      <t xml:space="preserve"> gekennzeichneten Zahlen können beliebig variiert werden):</t>
    </r>
  </si>
  <si>
    <r>
      <t>- aktuell verwendete Werte (</t>
    </r>
    <r>
      <rPr>
        <b/>
        <sz val="11"/>
        <color indexed="10"/>
        <rFont val="Calibri"/>
        <family val="2"/>
      </rPr>
      <t>0</t>
    </r>
    <r>
      <rPr>
        <sz val="11"/>
        <color theme="1"/>
        <rFont val="Calibri"/>
        <family val="2"/>
        <scheme val="minor"/>
      </rPr>
      <t xml:space="preserve">=nicht vorhanden, </t>
    </r>
    <r>
      <rPr>
        <b/>
        <sz val="11"/>
        <color indexed="10"/>
        <rFont val="Calibri"/>
        <family val="2"/>
      </rPr>
      <t>1</t>
    </r>
    <r>
      <rPr>
        <sz val="11"/>
        <color theme="1"/>
        <rFont val="Calibri"/>
        <family val="2"/>
        <scheme val="minor"/>
      </rPr>
      <t>=vorhanden)</t>
    </r>
  </si>
  <si>
    <t>Absorption Sonnenstrahlung in Schleierwolken</t>
  </si>
  <si>
    <t>Transmission von nomalen Wolken für Sonnenstrahlung</t>
  </si>
  <si>
    <t xml:space="preserve">Temperatur hoher Schleierwolken </t>
  </si>
  <si>
    <t>Berechnet in "Tabelle2"</t>
  </si>
  <si>
    <t>Berechnet in "Tabelle4"</t>
  </si>
  <si>
    <t>Zusatz: Berechnung der Sinkgeschwindigkeit kleiner Partikel in Luft bei Normaldruck</t>
  </si>
  <si>
    <t>Durchmesser d</t>
  </si>
  <si>
    <t>v=K / (3 π η d)</t>
  </si>
  <si>
    <t xml:space="preserve">für die Dauer in Jahren wird dazu noch durch die Zahl der Sekunden pro Tag   </t>
  </si>
  <si>
    <t>und  die Zahl der Tage pro Jahr geteilt.</t>
  </si>
  <si>
    <t>Dauer für 1 km =</t>
  </si>
  <si>
    <r>
      <rPr>
        <b/>
        <sz val="11"/>
        <rFont val="Calibri"/>
        <family val="2"/>
      </rPr>
      <t xml:space="preserve">(abhängig von den </t>
    </r>
    <r>
      <rPr>
        <b/>
        <sz val="11"/>
        <color indexed="60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Parametern  Zeilen 33- 60</t>
    </r>
    <r>
      <rPr>
        <b/>
        <sz val="11"/>
        <color indexed="60"/>
        <rFont val="Calibri"/>
        <family val="2"/>
      </rPr>
      <t>)</t>
    </r>
  </si>
  <si>
    <r>
      <t xml:space="preserve">dadurch ändern sich dann die Endergebnisse, die in den Feldern </t>
    </r>
    <r>
      <rPr>
        <b/>
        <sz val="11"/>
        <color indexed="60"/>
        <rFont val="Calibri"/>
        <family val="2"/>
      </rPr>
      <t>J23/24</t>
    </r>
    <r>
      <rPr>
        <sz val="11"/>
        <color theme="1"/>
        <rFont val="Calibri"/>
        <family val="2"/>
        <scheme val="minor"/>
      </rPr>
      <t xml:space="preserve"> und </t>
    </r>
    <r>
      <rPr>
        <b/>
        <sz val="11"/>
        <color indexed="60"/>
        <rFont val="Calibri"/>
        <family val="2"/>
      </rPr>
      <t>L23/24</t>
    </r>
    <r>
      <rPr>
        <sz val="11"/>
        <color theme="1"/>
        <rFont val="Calibri"/>
        <family val="2"/>
        <scheme val="minor"/>
      </rPr>
      <t xml:space="preserve"> abgelesen werden können</t>
    </r>
  </si>
  <si>
    <t>= 1 - Refllekt. (F44) - Absorpt. (F46)</t>
  </si>
  <si>
    <t>und mit Anteil F33</t>
  </si>
  <si>
    <t>und mit Anteil F34</t>
  </si>
  <si>
    <t>Dieser Wert ändert einheitlich die angenommenen mittleren Temperaturen der Erdoberfläche in Zeile 55</t>
  </si>
  <si>
    <t>und damit auch die entsprechende Schwarzkörperstrahlung in Zeile 57</t>
  </si>
  <si>
    <t>Die Werte G88 bis G92 geben an, wieviele Jahre ein Partikel mit entsprechendem Durchmesser</t>
  </si>
  <si>
    <t>Solarkonstante S =</t>
  </si>
  <si>
    <t>W/m²</t>
  </si>
  <si>
    <t>Tageszeit</t>
  </si>
  <si>
    <t>Sonneneinstrahlung in W/m²</t>
  </si>
  <si>
    <r>
      <t>Schwarzkörperstrahlung: S=</t>
    </r>
    <r>
      <rPr>
        <sz val="11"/>
        <color indexed="8"/>
        <rFont val="Calibri"/>
        <family val="2"/>
      </rPr>
      <t>σT^4</t>
    </r>
  </si>
  <si>
    <t>σ=5.7E-8 W/m² Grad^4</t>
  </si>
  <si>
    <t>6:00-6:30</t>
  </si>
  <si>
    <t>7:00-7:30</t>
  </si>
  <si>
    <t>6:30-7:00</t>
  </si>
  <si>
    <t>7:30-8:00</t>
  </si>
  <si>
    <t>8:00-8:30</t>
  </si>
  <si>
    <t>8:30-9:00</t>
  </si>
  <si>
    <t>9:00-9:30</t>
  </si>
  <si>
    <t>9:30-10:00</t>
  </si>
  <si>
    <t>10:30-11:00</t>
  </si>
  <si>
    <t>11:30-12:00</t>
  </si>
  <si>
    <t>10:00-10:30</t>
  </si>
  <si>
    <t>11:00-11:30</t>
  </si>
  <si>
    <t>24-Stunden-Schnitt</t>
  </si>
  <si>
    <t>°C</t>
  </si>
  <si>
    <t>ß=30°</t>
  </si>
  <si>
    <t>ß=35°</t>
  </si>
  <si>
    <t>ß=40°</t>
  </si>
  <si>
    <t>ß=45°</t>
  </si>
  <si>
    <t>ß=25°</t>
  </si>
  <si>
    <t>ß=20°</t>
  </si>
  <si>
    <t>ß=15°</t>
  </si>
  <si>
    <t>ß=10°</t>
  </si>
  <si>
    <t>ß=5°</t>
  </si>
  <si>
    <t>ß=50°</t>
  </si>
  <si>
    <t>ß=55°</t>
  </si>
  <si>
    <t>ß=60°</t>
  </si>
  <si>
    <t>ß=65°</t>
  </si>
  <si>
    <t>ß=70°</t>
  </si>
  <si>
    <t>ß=75°</t>
  </si>
  <si>
    <t>ß=80°</t>
  </si>
  <si>
    <t>ß=85°</t>
  </si>
  <si>
    <t>12:00-12:30</t>
  </si>
  <si>
    <t>13:30-14:00</t>
  </si>
  <si>
    <t>12:30-13:00</t>
  </si>
  <si>
    <t>13:00-13:30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</si>
  <si>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</si>
  <si>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</si>
  <si>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</si>
  <si>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</si>
  <si>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</si>
  <si>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</si>
  <si>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</si>
  <si>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</si>
  <si>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Uhrzeiten der Kumulusbewölkung</t>
  </si>
  <si>
    <t>ß=0°</t>
  </si>
  <si>
    <t>Standardwert -5 °C</t>
  </si>
  <si>
    <t>Standardwert -55 °C</t>
  </si>
  <si>
    <t>Standardwert 0.05</t>
  </si>
  <si>
    <t xml:space="preserve">- Standardwerte </t>
  </si>
  <si>
    <t>entsprechende Schwarzkörperstrahlung</t>
  </si>
  <si>
    <t>Standardwert 0.7</t>
  </si>
  <si>
    <r>
      <rPr>
        <sz val="11"/>
        <color indexed="8"/>
        <rFont val="Calibri"/>
        <family val="2"/>
      </rPr>
      <t>↓</t>
    </r>
    <r>
      <rPr>
        <sz val="11"/>
        <color theme="1"/>
        <rFont val="Calibri"/>
        <family val="2"/>
        <scheme val="minor"/>
      </rPr>
      <t>24-Stunden-Schnitt</t>
    </r>
  </si>
  <si>
    <t>Geographische Breite (Grad)</t>
  </si>
  <si>
    <t>40 °</t>
  </si>
  <si>
    <t xml:space="preserve"> - Standardwerte:</t>
  </si>
  <si>
    <t>Standardwerte (°C)</t>
  </si>
  <si>
    <t>angenommene mittlere Temperaturen der Erdoberfläche (°C)</t>
  </si>
  <si>
    <r>
      <t xml:space="preserve">↓   </t>
    </r>
    <r>
      <rPr>
        <sz val="11"/>
        <rFont val="Calibri"/>
        <family val="2"/>
      </rPr>
      <t>0 °</t>
    </r>
  </si>
  <si>
    <r>
      <t xml:space="preserve">↓   </t>
    </r>
    <r>
      <rPr>
        <sz val="11"/>
        <rFont val="Calibri"/>
        <family val="2"/>
      </rPr>
      <t>5 °</t>
    </r>
  </si>
  <si>
    <r>
      <t>↓  1</t>
    </r>
    <r>
      <rPr>
        <sz val="11"/>
        <rFont val="Calibri"/>
        <family val="2"/>
      </rPr>
      <t>0 °</t>
    </r>
  </si>
  <si>
    <r>
      <t>↓  1</t>
    </r>
    <r>
      <rPr>
        <sz val="11"/>
        <rFont val="Calibri"/>
        <family val="2"/>
      </rPr>
      <t>5 °</t>
    </r>
  </si>
  <si>
    <r>
      <t>↓  2</t>
    </r>
    <r>
      <rPr>
        <sz val="11"/>
        <rFont val="Calibri"/>
        <family val="2"/>
      </rPr>
      <t>0 °</t>
    </r>
  </si>
  <si>
    <r>
      <t>↓  25</t>
    </r>
    <r>
      <rPr>
        <sz val="11"/>
        <rFont val="Calibri"/>
        <family val="2"/>
      </rPr>
      <t xml:space="preserve"> °</t>
    </r>
  </si>
  <si>
    <r>
      <t>↓  30</t>
    </r>
    <r>
      <rPr>
        <sz val="11"/>
        <rFont val="Calibri"/>
        <family val="2"/>
      </rPr>
      <t xml:space="preserve"> °</t>
    </r>
  </si>
  <si>
    <r>
      <t>↓  35</t>
    </r>
    <r>
      <rPr>
        <sz val="11"/>
        <rFont val="Calibri"/>
        <family val="2"/>
      </rPr>
      <t xml:space="preserve"> °</t>
    </r>
  </si>
  <si>
    <r>
      <t>↓  45</t>
    </r>
    <r>
      <rPr>
        <sz val="11"/>
        <rFont val="Calibri"/>
        <family val="2"/>
      </rPr>
      <t xml:space="preserve"> °</t>
    </r>
  </si>
  <si>
    <r>
      <t>↓  50</t>
    </r>
    <r>
      <rPr>
        <sz val="11"/>
        <rFont val="Calibri"/>
        <family val="2"/>
      </rPr>
      <t xml:space="preserve"> °</t>
    </r>
  </si>
  <si>
    <r>
      <t>↓  55</t>
    </r>
    <r>
      <rPr>
        <sz val="11"/>
        <rFont val="Calibri"/>
        <family val="2"/>
      </rPr>
      <t xml:space="preserve"> °</t>
    </r>
  </si>
  <si>
    <r>
      <t>↓  60</t>
    </r>
    <r>
      <rPr>
        <sz val="11"/>
        <rFont val="Calibri"/>
        <family val="2"/>
      </rPr>
      <t xml:space="preserve"> °</t>
    </r>
  </si>
  <si>
    <r>
      <t>↓  75</t>
    </r>
    <r>
      <rPr>
        <sz val="11"/>
        <rFont val="Calibri"/>
        <family val="2"/>
      </rPr>
      <t xml:space="preserve"> °</t>
    </r>
  </si>
  <si>
    <r>
      <t>↓  65</t>
    </r>
    <r>
      <rPr>
        <sz val="11"/>
        <rFont val="Calibri"/>
        <family val="2"/>
      </rPr>
      <t xml:space="preserve"> °</t>
    </r>
  </si>
  <si>
    <r>
      <t>↓  70</t>
    </r>
    <r>
      <rPr>
        <sz val="11"/>
        <rFont val="Calibri"/>
        <family val="2"/>
      </rPr>
      <t xml:space="preserve"> °</t>
    </r>
  </si>
  <si>
    <r>
      <t>↓  80</t>
    </r>
    <r>
      <rPr>
        <sz val="11"/>
        <rFont val="Calibri"/>
        <family val="2"/>
      </rPr>
      <t xml:space="preserve"> °</t>
    </r>
  </si>
  <si>
    <r>
      <t>↓  85</t>
    </r>
    <r>
      <rPr>
        <sz val="11"/>
        <rFont val="Calibri"/>
        <family val="2"/>
      </rPr>
      <t xml:space="preserve"> °</t>
    </r>
  </si>
  <si>
    <t>(Standard -5)</t>
  </si>
  <si>
    <t>Summe</t>
  </si>
  <si>
    <t>- aktuell verwendete Werte (0=nicht vorhanden, 1=vorhanden)</t>
  </si>
  <si>
    <t>Von außen ankommende Sonnenstrahlen</t>
  </si>
  <si>
    <t>Reflexion der Erdoberfläche (für hohe Breiten hoch wegen Schnee/Eis)</t>
  </si>
  <si>
    <t>Refl.=</t>
  </si>
  <si>
    <t>- Transmissionsfaktor für Kumulus-Wolken</t>
  </si>
  <si>
    <t>$F$9+273=Temperatur</t>
  </si>
  <si>
    <t>Für Schleierwolken sind Absorption, Transmission und Reflexion mit deren Dichte zu multiplizieren</t>
  </si>
  <si>
    <r>
      <t xml:space="preserve">$M$9=Faktor </t>
    </r>
    <r>
      <rPr>
        <sz val="11"/>
        <color indexed="8"/>
        <rFont val="Calibri"/>
        <family val="2"/>
      </rPr>
      <t>σ in der Wärmestrahlung</t>
    </r>
  </si>
  <si>
    <t>jedoch:</t>
  </si>
  <si>
    <t>Sonnenstrahlung muss  noch 1*durch Schleierbewölkung, daher noch multiplizieren mit</t>
  </si>
  <si>
    <r>
      <t xml:space="preserve">wie </t>
    </r>
    <r>
      <rPr>
        <b/>
        <sz val="11"/>
        <color indexed="50"/>
        <rFont val="Calibri"/>
        <family val="2"/>
      </rPr>
      <t>(F)</t>
    </r>
  </si>
  <si>
    <t>Transmission von Wolken (=1-Absorption-Reflexion)</t>
  </si>
  <si>
    <t>Reflexion von Wolken</t>
  </si>
  <si>
    <t xml:space="preserve">Anmerkung: </t>
  </si>
  <si>
    <t>siehe auch Anmerkung weiter oben</t>
  </si>
  <si>
    <t>Summe f)</t>
  </si>
  <si>
    <t>(1-$F$12)</t>
  </si>
  <si>
    <t xml:space="preserve">vorhanden ist, ist der Anteil der beteiligten Erdoberflächen entsprechend höher.  </t>
  </si>
  <si>
    <t xml:space="preserve">Es wird angenommen, dass die Kumulusbewölkung ständig etwa 10% der Erde bedeckt. Da sie jedoch jeweils nur einige Stunden  </t>
  </si>
  <si>
    <t>Wenn diese niedrigen Wolken nur 6 von 12 Tagesstunden vorhanden sind, beträgt dann der Anteil der beteiligten Flächen 2*10 %</t>
  </si>
  <si>
    <t>A) Flächenanteil klar bleibender Himmel</t>
  </si>
  <si>
    <t>B) Flächenanteil mit irgendwann tagsüber Kumulus-Bewölkung</t>
  </si>
  <si>
    <t>Zusammenfassung Ergebnisse sämtlicher Einzelrechnungen:</t>
  </si>
  <si>
    <t>↓geogr. Breite (Grad)</t>
  </si>
  <si>
    <t>Var$29=Kumulus an/aus</t>
  </si>
  <si>
    <t>$M$9*($F$9+273)^4*Var$29</t>
  </si>
  <si>
    <t>$F$12=Dichte hoh. Schleierwolken (Standard 0,05)</t>
  </si>
  <si>
    <t>Gewichtete Auswirkungen</t>
  </si>
  <si>
    <t>335 W/m² mittlere Einstrahlung auf Erde</t>
  </si>
  <si>
    <t>erzeugen rechnerisch etwa 255 K.</t>
  </si>
  <si>
    <t xml:space="preserve">Dann erzeugt 1 W/m² mehr eine </t>
  </si>
  <si>
    <t xml:space="preserve">Temperaturerhöhung von </t>
  </si>
  <si>
    <t>1/335 * 255/4 Grad = 0,19 Grad</t>
  </si>
  <si>
    <t>(Faktor 1/4 wegen Abstrahlung proportional T^4)</t>
  </si>
  <si>
    <t xml:space="preserve">Temperaturerhöhung pro W/m²: </t>
  </si>
  <si>
    <t>Standard 0.3</t>
  </si>
  <si>
    <t>Standard 0.2</t>
  </si>
  <si>
    <t xml:space="preserve"> - Standardwerte </t>
  </si>
  <si>
    <t>Flächenanteil permanent blauer Himmel</t>
  </si>
  <si>
    <t>Flächenanteil Himmel mit zeitweiliger Kumulusbewölkung</t>
  </si>
  <si>
    <t>Standardwert 0.3</t>
  </si>
  <si>
    <t>Standardwert 0.2</t>
  </si>
  <si>
    <t>Modellberechnungen in Tabelle2:</t>
  </si>
  <si>
    <t>Endergebnisse:</t>
  </si>
  <si>
    <t>Die Berechnungen wurden nur für den Tag der Tag-und Nachtgleiche durchgeführt</t>
  </si>
  <si>
    <t>die Dichte von Schleierwolken, die entsprechend abgeändert werden können</t>
  </si>
  <si>
    <r>
      <t xml:space="preserve">Diese </t>
    </r>
    <r>
      <rPr>
        <b/>
        <sz val="11"/>
        <color indexed="10"/>
        <rFont val="Calibri"/>
        <family val="2"/>
      </rPr>
      <t>rot</t>
    </r>
    <r>
      <rPr>
        <sz val="11"/>
        <color theme="1"/>
        <rFont val="Calibri"/>
        <family val="2"/>
        <scheme val="minor"/>
      </rPr>
      <t xml:space="preserve"> gekennzeichneten Rechenparameter können variiert werden, dann ändern sich die berechneten Temperaturanstiege entsprechend</t>
    </r>
  </si>
  <si>
    <t>daneben oder darunter sind sogenannte Standardwerte angegeben, damit dann leicht wieder zu den ursprünglichen Rechenparametern zurückgefunden werden kann.</t>
  </si>
  <si>
    <t xml:space="preserve">  Wichtungsfaktor  ↓</t>
  </si>
  <si>
    <r>
      <t>Uhrzeit</t>
    </r>
    <r>
      <rPr>
        <sz val="11"/>
        <color indexed="8"/>
        <rFont val="Calibri"/>
        <family val="2"/>
      </rPr>
      <t>→</t>
    </r>
  </si>
  <si>
    <t>Standard</t>
  </si>
  <si>
    <t>-5 Standard</t>
  </si>
  <si>
    <t>↓ 40 °</t>
  </si>
  <si>
    <t>Sonnenhöhe (Grad über Horizont) in Abhängigkeit von geogr. Breite ß:</t>
  </si>
  <si>
    <t xml:space="preserve">Standardwert 0.05 </t>
  </si>
  <si>
    <t>Berechnung der Wirkung von Flugverkehr auf die Erdtemperatur für unterschiedliche geographische Breite</t>
  </si>
  <si>
    <t>Anlass für diese Berechnungen ist meine Feststellung, dass im Jahr 2020 zumindest in Mitteleuropa die Temperaturen trotz viel Sonnenschein</t>
  </si>
  <si>
    <t>$F$7+273=Temperatur (Std -5°C)</t>
  </si>
  <si>
    <t>$F$7+273=Temperatur</t>
  </si>
  <si>
    <t>Schwarz:</t>
  </si>
  <si>
    <t>Rot fett:</t>
  </si>
  <si>
    <t>Grün fett:</t>
  </si>
  <si>
    <t>Nachfolgende Farbkennzeichnungen stehen für:</t>
  </si>
  <si>
    <t>Violett groß fett:</t>
  </si>
  <si>
    <t>Breitengrad, für den diese Rechnung gilt</t>
  </si>
  <si>
    <t>Ergebnisse für einen bestimmten Breitengrad</t>
  </si>
  <si>
    <t>Kommentarzeilen sowie Einzelergebnisse für bestimmte Tageszeiten</t>
  </si>
  <si>
    <t>Temperatur der Obergrenze Kumulus-Bewölkung</t>
  </si>
  <si>
    <t>0.1  (Std)</t>
  </si>
  <si>
    <t>----------------------------           Weitere Ergebnisse mit geänderten Parametern    -------------         jeweils ausschließlich den betreffenden Parameter geändert, keine anderen           --------------------------------------------------------------------------------------------------------------------------------</t>
  </si>
  <si>
    <t>10° kälter</t>
  </si>
  <si>
    <t>10° wärmer</t>
  </si>
  <si>
    <t xml:space="preserve">Abweichung Bodentemperatur </t>
  </si>
  <si>
    <t>10-16 Uhr (Std)</t>
  </si>
  <si>
    <t>9 - 16 Uhr</t>
  </si>
  <si>
    <t>10- 17 Uhr</t>
  </si>
  <si>
    <t>9-17Uhr</t>
  </si>
  <si>
    <t>11 - 15 Uhr</t>
  </si>
  <si>
    <t>↓       Reflexion des Bodens          ↓</t>
  </si>
  <si>
    <t>↓    Änderung Bodentemperatur     ↓</t>
  </si>
  <si>
    <t>↓       Variation Temperatur        ↓</t>
  </si>
  <si>
    <t>↓        Änderung der Zeiten für Kumulusbewölkung         ↓</t>
  </si>
  <si>
    <t>Mir fiel zunächst auf, dass es in der Temperaturentwicklung der Erde der vergangenen etwa 100 Jahre schon mal einen damals noch kleinen Temperaturanstieg</t>
  </si>
  <si>
    <t>normale Werte zurück. Ich habe mich gefragt, ob hierfür verstärkte Wolkenbildung infolge der Wasseremissionen der Flugzeuge dafür verantwortlich sein kann.</t>
  </si>
  <si>
    <t xml:space="preserve">von etwa 0,2 °C gab, ganz exakt während den Jahren des 2. Weltkriegs, von 1940 bis 45. Danach ging die Erdtemperatur wieder auf für die damalige  Zeit </t>
  </si>
  <si>
    <r>
      <t xml:space="preserve">Allerdings hat sich die Ursache verstärkte Wolkenbildung  </t>
    </r>
    <r>
      <rPr>
        <b/>
        <u/>
        <sz val="11"/>
        <color indexed="8"/>
        <rFont val="Calibri"/>
        <family val="2"/>
      </rPr>
      <t>während des 2. Weltkriegs</t>
    </r>
    <r>
      <rPr>
        <b/>
        <sz val="11"/>
        <color indexed="8"/>
        <rFont val="Calibri"/>
        <family val="2"/>
      </rPr>
      <t xml:space="preserve"> aufgrund von genaueren Daten über den Verbrauch von Flugzeugtreibstoff nicht bestätigt.</t>
    </r>
  </si>
  <si>
    <t>im Vergleich zu den Vorjahren eher mäßig waren. Ich hatte aus folgendem Grund den massiven Rückgang des Flugverkehrs infolge der Corona-krise im Verdacht:</t>
  </si>
  <si>
    <t xml:space="preserve">In Tabelle1 hier sind lediglich die Endergebnisse dargestellt, sowie die einzelnen Rechenparameter wie beispielsweise </t>
  </si>
  <si>
    <t xml:space="preserve">Wenn man annähme, dass damals die vermehrte Wasserfreisetzung schon diese 0,2 °C verursacht hätte, dann müsste heutzutage diese Temperaturerhöhung bei </t>
  </si>
  <si>
    <t>+10</t>
  </si>
  <si>
    <t>Temperatur der Obergrenze permanente niedrige Bewölkung</t>
  </si>
  <si>
    <t>Flächenanteil Himmel mit permanenter niedriger Bewölkung</t>
  </si>
  <si>
    <t>Temperatur der Obergrenze von Kumuluswolken</t>
  </si>
  <si>
    <t>Temperatur der Obergrenze niedriger permanenter Bewölkung</t>
  </si>
  <si>
    <t xml:space="preserve">Temperatur hoher Schleierwolken und Kondensstreifen </t>
  </si>
  <si>
    <t>niedrige Dichte hoher Schleierwolken</t>
  </si>
  <si>
    <t>hohe Dichte hoher Schleierwolken</t>
  </si>
  <si>
    <t>Rechenparameter (Wiederholung aus Tabelle 1):</t>
  </si>
  <si>
    <t xml:space="preserve"> Auswirkung durch Wolkenbildung infolge Wasserfreisetzung in heutiger Flughöhe von 10-12 km Höhe</t>
  </si>
  <si>
    <t>1. Absorption als Funktion des Einfallswinkels der Sonnenstrahlen</t>
  </si>
  <si>
    <t>Fakor Weglänge c=</t>
  </si>
  <si>
    <r>
      <t xml:space="preserve">c ist Hypotenuse des rechtwinkligen Dreiecks mit Kathede a = 1 und Kathede b </t>
    </r>
    <r>
      <rPr>
        <sz val="11"/>
        <color indexed="8"/>
        <rFont val="Calibri"/>
        <family val="2"/>
      </rPr>
      <t>&gt;</t>
    </r>
    <r>
      <rPr>
        <sz val="8.8000000000000007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1</t>
    </r>
  </si>
  <si>
    <t>Einfallswinkel in Grad</t>
  </si>
  <si>
    <t>A0=0.01</t>
  </si>
  <si>
    <t>Absorption</t>
  </si>
  <si>
    <t>A0=0.05</t>
  </si>
  <si>
    <t>A0=0.2</t>
  </si>
  <si>
    <r>
      <t>geogr. Breite</t>
    </r>
    <r>
      <rPr>
        <b/>
        <sz val="11"/>
        <color indexed="10"/>
        <rFont val="Calibri"/>
        <family val="2"/>
      </rPr>
      <t>↓</t>
    </r>
  </si>
  <si>
    <r>
      <t>Tageszeit</t>
    </r>
    <r>
      <rPr>
        <b/>
        <sz val="11"/>
        <color indexed="8"/>
        <rFont val="Calibri"/>
        <family val="2"/>
      </rPr>
      <t>→</t>
    </r>
  </si>
  <si>
    <t>A=0.01</t>
  </si>
  <si>
    <t>Interpolation linear</t>
  </si>
  <si>
    <t>A=0.05</t>
  </si>
  <si>
    <t>A=0.2</t>
  </si>
  <si>
    <t>2. Bestimmung des mittleren Auftreffwinkels der vom Boden ausgehenden Strahlung (Wärmestrahlung und diffus reflektierte Sonnenstrahlung) auf die Dunstschicht</t>
  </si>
  <si>
    <t>Winkelbereich</t>
  </si>
  <si>
    <t>Maximum</t>
  </si>
  <si>
    <t>Flächenanteil relativ</t>
  </si>
  <si>
    <t>Mittlerer Winkel</t>
  </si>
  <si>
    <t>↓ genormter Anteil x unkorr. Abs. x Korrektur</t>
  </si>
  <si>
    <t>↓ Korrekturfaktor</t>
  </si>
  <si>
    <t>↓ auf 1 genormter relativer Anteil der Strahlen</t>
  </si>
  <si>
    <t>↓ relativer Anteil der Strahlen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</si>
  <si>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</si>
  <si>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</si>
  <si>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</si>
  <si>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</si>
  <si>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</si>
  <si>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</si>
  <si>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</si>
  <si>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</si>
  <si>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</si>
  <si>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</si>
  <si>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</si>
  <si>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</si>
  <si>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</si>
  <si>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</si>
  <si>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</si>
  <si>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</si>
  <si>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</si>
  <si>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</si>
  <si>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r>
      <t>Summen</t>
    </r>
    <r>
      <rPr>
        <sz val="11"/>
        <color indexed="8"/>
        <rFont val="Calibri"/>
        <family val="2"/>
      </rPr>
      <t>→</t>
    </r>
  </si>
  <si>
    <t>ungefährer Reduktionsfaktor</t>
  </si>
  <si>
    <t>Interpolierte Absorptionsfaktoren für Grad-Winkel:</t>
  </si>
  <si>
    <t>Reduktionsfaktoren für Grad-Winkel</t>
  </si>
  <si>
    <t>- Multiplikationsfaktor nominal</t>
  </si>
  <si>
    <t>Durchschnittlicher Multiplikationsfaktor für Absorption vom Boden →</t>
  </si>
  <si>
    <t xml:space="preserve">weit über 20 °C liegen, was definiv nicht der Fall ist. Deswegen ist die Ursache damals vermutlich auf die damals sicher noch um Größenordnungenl stärkere Rußbildung </t>
  </si>
  <si>
    <t>zurückzuführen, was allerdings nicht Gegenstand dieser Untersuchung ist.</t>
  </si>
  <si>
    <t>25% permanent niedriger Bewölkng und restliche 25% permanent  hoher Bewölkung ausgegangen</t>
  </si>
  <si>
    <t xml:space="preserve">Im vorliegender Berechnung wird deshalb standardmäßig von 20 % Kumulusbewölkung (nur zwischen 10 und 16 Uhr), 30 % klar bleibender Himmel, </t>
  </si>
  <si>
    <t>C) Flächenanteil mit permanent niedriger Bedeckung</t>
  </si>
  <si>
    <t>Standard 0.25</t>
  </si>
  <si>
    <t>noch aufbereiten</t>
  </si>
  <si>
    <t>-</t>
  </si>
  <si>
    <r>
      <t xml:space="preserve">Aufgrund meiner Vermutung, dass der Effekt der Schleierbewölkung in 10 - 12 Km Höhe nur ab etwa 45 ° auftritt, wird die Berechnung nur für Breitengrade </t>
    </r>
    <r>
      <rPr>
        <b/>
        <sz val="11"/>
        <color indexed="8"/>
        <rFont val="Calibri"/>
        <family val="2"/>
      </rPr>
      <t>≥</t>
    </r>
    <r>
      <rPr>
        <b/>
        <sz val="9.9"/>
        <color indexed="8"/>
        <rFont val="Calibri"/>
        <family val="2"/>
      </rPr>
      <t xml:space="preserve"> 45 ° ausgeführt</t>
    </r>
  </si>
  <si>
    <t>Standardwert 0.5</t>
  </si>
  <si>
    <r>
      <rPr>
        <b/>
        <sz val="11"/>
        <color indexed="8"/>
        <rFont val="Calibri"/>
        <family val="2"/>
      </rPr>
      <t xml:space="preserve">Definition von Dichte: </t>
    </r>
    <r>
      <rPr>
        <sz val="11"/>
        <color theme="1"/>
        <rFont val="Calibri"/>
        <family val="2"/>
        <scheme val="minor"/>
      </rPr>
      <t xml:space="preserve">Bei senkrechtem Sonnenstand trifft ein der Dichte entsprechender Anteil der Sonnenstrahlen auf ein Dunstpartikel </t>
    </r>
  </si>
  <si>
    <t>$F$9+273=Temperatur (Std. -55 °C)</t>
  </si>
  <si>
    <r>
      <t xml:space="preserve">Standardwert 0.5. Der Anteil Richtung Boden beträgt dann 1 </t>
    </r>
    <r>
      <rPr>
        <b/>
        <sz val="11"/>
        <color indexed="8"/>
        <rFont val="Calibri"/>
        <family val="2"/>
      </rPr>
      <t xml:space="preserve">- </t>
    </r>
    <r>
      <rPr>
        <sz val="11"/>
        <color theme="1"/>
        <rFont val="Calibri"/>
        <family val="2"/>
        <scheme val="minor"/>
      </rPr>
      <t>$F$15</t>
    </r>
  </si>
  <si>
    <t>$F$10= niedrige Dichte 0.01 hoher Schleierwolken</t>
  </si>
  <si>
    <r>
      <t xml:space="preserve">Summe A0) </t>
    </r>
    <r>
      <rPr>
        <b/>
        <sz val="11"/>
        <color indexed="10"/>
        <rFont val="Calibri"/>
        <family val="2"/>
      </rPr>
      <t>→</t>
    </r>
  </si>
  <si>
    <t>Differenz zu AO) →</t>
  </si>
  <si>
    <r>
      <rPr>
        <b/>
        <sz val="11"/>
        <color indexed="10"/>
        <rFont val="Calibri"/>
        <family val="2"/>
      </rPr>
      <t>A0)</t>
    </r>
    <r>
      <rPr>
        <b/>
        <sz val="11"/>
        <color indexed="8"/>
        <rFont val="Calibri"/>
        <family val="2"/>
      </rPr>
      <t xml:space="preserve"> vollkommen klarer Himmel</t>
    </r>
  </si>
  <si>
    <r>
      <rPr>
        <b/>
        <sz val="11"/>
        <color indexed="10"/>
        <rFont val="Calibri"/>
        <family val="2"/>
      </rPr>
      <t>A1)</t>
    </r>
    <r>
      <rPr>
        <b/>
        <sz val="11"/>
        <color indexed="8"/>
        <rFont val="Calibri"/>
        <family val="2"/>
      </rPr>
      <t xml:space="preserve"> klarer Himmel wie a) aber zusätzlich Schleierbewölkung (</t>
    </r>
    <r>
      <rPr>
        <b/>
        <sz val="11"/>
        <color indexed="10"/>
        <rFont val="Calibri"/>
        <family val="2"/>
      </rPr>
      <t>niedrige Dichte 0.01</t>
    </r>
    <r>
      <rPr>
        <b/>
        <sz val="11"/>
        <color indexed="8"/>
        <rFont val="Calibri"/>
        <family val="2"/>
      </rPr>
      <t>) durch Flugverkehr in ca. 11 km Höhe (Temperaturschicht -55 °C)</t>
    </r>
  </si>
  <si>
    <t>Summe B0) →</t>
  </si>
  <si>
    <t>Differenz zu B0) →</t>
  </si>
  <si>
    <t>Sonnenstr. muss insgesamt 2*durch Schleierbewölkung, daher noch multiplizieren mit</t>
  </si>
  <si>
    <r>
      <rPr>
        <b/>
        <sz val="11"/>
        <color indexed="10"/>
        <rFont val="Calibri"/>
        <family val="2"/>
      </rPr>
      <t>C0)</t>
    </r>
    <r>
      <rPr>
        <b/>
        <sz val="11"/>
        <color indexed="8"/>
        <rFont val="Calibri"/>
        <family val="2"/>
      </rPr>
      <t xml:space="preserve"> permanent niedrige Bewölkung, </t>
    </r>
    <r>
      <rPr>
        <b/>
        <sz val="11"/>
        <color indexed="8"/>
        <rFont val="Calibri"/>
        <family val="2"/>
      </rPr>
      <t>ß</t>
    </r>
    <r>
      <rPr>
        <b/>
        <sz val="9.9"/>
        <color indexed="8"/>
        <rFont val="Calibri"/>
        <family val="2"/>
      </rPr>
      <t xml:space="preserve"> = 45 °</t>
    </r>
  </si>
  <si>
    <r>
      <rPr>
        <b/>
        <sz val="11"/>
        <color indexed="10"/>
        <rFont val="Calibri"/>
        <family val="2"/>
      </rPr>
      <t>C1)</t>
    </r>
    <r>
      <rPr>
        <b/>
        <sz val="11"/>
        <color indexed="8"/>
        <rFont val="Calibri"/>
        <family val="2"/>
      </rPr>
      <t xml:space="preserve"> permanent niedrige Bewölkung, aber zusätzlich Schleierbewölkung </t>
    </r>
    <r>
      <rPr>
        <b/>
        <sz val="11"/>
        <color indexed="10"/>
        <rFont val="Calibri"/>
        <family val="2"/>
      </rPr>
      <t xml:space="preserve">(niedrige Dichte 0.01) </t>
    </r>
    <r>
      <rPr>
        <b/>
        <sz val="11"/>
        <color indexed="8"/>
        <rFont val="Calibri"/>
        <family val="2"/>
      </rPr>
      <t>durch Flugverkehr in ca. 11 km Höhe (Temperaturschicht -55 °C)</t>
    </r>
  </si>
  <si>
    <t>Summe C0)</t>
  </si>
  <si>
    <t>Differenz zu C0) →</t>
  </si>
  <si>
    <t>Var$63=momentane Sonnenintensität</t>
  </si>
  <si>
    <t>In erster Näherung wird das hier ignoriert, weil Fehler in beiden Betrachtungen mit und ohne hohe Schleierwolken sich annähernd gegenseitig kompensieren.</t>
  </si>
  <si>
    <r>
      <rPr>
        <b/>
        <sz val="11"/>
        <color indexed="10"/>
        <rFont val="Calibri"/>
        <family val="2"/>
      </rPr>
      <t xml:space="preserve">B1) </t>
    </r>
    <r>
      <rPr>
        <b/>
        <sz val="11"/>
        <color indexed="8"/>
        <rFont val="Calibri"/>
        <family val="2"/>
      </rPr>
      <t xml:space="preserve">klarer Himmel mit Kumuluswolken </t>
    </r>
    <r>
      <rPr>
        <b/>
        <sz val="11"/>
        <rFont val="Calibri"/>
        <family val="2"/>
      </rPr>
      <t>wie</t>
    </r>
    <r>
      <rPr>
        <b/>
        <sz val="11"/>
        <color indexed="10"/>
        <rFont val="Calibri"/>
        <family val="2"/>
      </rPr>
      <t xml:space="preserve"> B0)</t>
    </r>
    <r>
      <rPr>
        <b/>
        <sz val="11"/>
        <color indexed="8"/>
        <rFont val="Calibri"/>
        <family val="2"/>
      </rPr>
      <t xml:space="preserve">, aber zusätzlich  Schleierbewölkung </t>
    </r>
    <r>
      <rPr>
        <b/>
        <sz val="11"/>
        <color indexed="10"/>
        <rFont val="Calibri"/>
        <family val="2"/>
      </rPr>
      <t>(niedrige Dichte 0.01)</t>
    </r>
    <r>
      <rPr>
        <b/>
        <sz val="11"/>
        <color indexed="8"/>
        <rFont val="Calibri"/>
        <family val="2"/>
      </rPr>
      <t xml:space="preserve"> durch Flugverkehr in ca. 11 km Höhe (Temperaturschicht -55 °C)</t>
    </r>
  </si>
  <si>
    <t>Reflektivität von Schleierwolken für Sonnenstrahlung</t>
  </si>
  <si>
    <t>AO): vollkommen klarer Himmel</t>
  </si>
  <si>
    <t>BO): klarer Himmel mit Kumuluswolken</t>
  </si>
  <si>
    <t>C0): niedrige permanente Bewölkung in Temperaturschicht -5 °C nominell, kann variiert werden</t>
  </si>
  <si>
    <r>
      <t xml:space="preserve">Summe A0) </t>
    </r>
    <r>
      <rPr>
        <b/>
        <sz val="11"/>
        <color indexed="10"/>
        <rFont val="Calibri"/>
        <family val="2"/>
      </rPr>
      <t xml:space="preserve">→ </t>
    </r>
    <r>
      <rPr>
        <b/>
        <sz val="11"/>
        <color indexed="17"/>
        <rFont val="Calibri"/>
        <family val="2"/>
      </rPr>
      <t>(nur grüne Zahlen)</t>
    </r>
  </si>
  <si>
    <t>Einzelbeiträge zu Ergebnissen für einen bestimmten Breitengrad. Dabei wird aussschließlich die wieder in den Weltraum abgegebene Energie berechnet</t>
  </si>
  <si>
    <r>
      <t>Summe A1) →</t>
    </r>
    <r>
      <rPr>
        <b/>
        <sz val="11"/>
        <color indexed="17"/>
        <rFont val="Calibri"/>
        <family val="2"/>
      </rPr>
      <t xml:space="preserve"> (nur grüne Zahlen)</t>
    </r>
  </si>
  <si>
    <r>
      <t xml:space="preserve">Summe B1) → </t>
    </r>
    <r>
      <rPr>
        <b/>
        <sz val="11"/>
        <color indexed="17"/>
        <rFont val="Calibri"/>
        <family val="2"/>
      </rPr>
      <t>(nur grüne Zahlen)</t>
    </r>
  </si>
  <si>
    <r>
      <t xml:space="preserve">Summe C1) → </t>
    </r>
    <r>
      <rPr>
        <b/>
        <sz val="11"/>
        <color indexed="17"/>
        <rFont val="Calibri"/>
        <family val="2"/>
      </rPr>
      <t>(nur grüne Zahlen)</t>
    </r>
  </si>
  <si>
    <t>$M$9=Faktor σ in der Wärmestrahlung</t>
  </si>
  <si>
    <t>$M$9=Fakt. σ Wärmestr.</t>
  </si>
  <si>
    <t>Generell: Variabel fortschreitende Werte, z.B. H$62 bis AE$62, werden nachfolgend im erläuternden Text mit Var$62 bezeichnet</t>
  </si>
  <si>
    <t xml:space="preserve">Modellberechnungen: </t>
  </si>
  <si>
    <r>
      <t xml:space="preserve">Berechnung der Wirkung von durch Flugzeuge erzeugter Schleierbewölkung auf die Erdtemperatur für unterschiedliche geographische Breite </t>
    </r>
    <r>
      <rPr>
        <b/>
        <sz val="14"/>
        <color indexed="36"/>
        <rFont val="Calibri"/>
        <family val="2"/>
      </rPr>
      <t>ß</t>
    </r>
  </si>
  <si>
    <t>A0) vollkommen klarer Himmel, Vergleich mit zusätzlicher Schleierbewölkung durch Flugverkehr mit A1) 0.01 und A2) 0.05 Dichte</t>
  </si>
  <si>
    <t>B0) klarer Himmel mit Kumuluswolken, Vergleich mit zusätzlicher Schleierbewölkung durch Flugverkehr mit B1) 0.01 und B2) 0.05 Dichte</t>
  </si>
  <si>
    <t xml:space="preserve">C0) niedrige permanente Bewölkung in Temperaturschicht -5 °C nominell, kann variiert werden, Vergleich mit zusätzlicher </t>
  </si>
  <si>
    <r>
      <t xml:space="preserve">      </t>
    </r>
    <r>
      <rPr>
        <b/>
        <sz val="11"/>
        <color indexed="8"/>
        <rFont val="Calibri"/>
        <family val="2"/>
      </rPr>
      <t xml:space="preserve"> Schleierbewölkung durch Flugverkehr mit C1) 0.01 und C2) 0.05 Dichte</t>
    </r>
  </si>
  <si>
    <r>
      <rPr>
        <b/>
        <sz val="11"/>
        <color indexed="8"/>
        <rFont val="Calibri"/>
        <family val="2"/>
      </rPr>
      <t xml:space="preserve">Auswertung: </t>
    </r>
    <r>
      <rPr>
        <sz val="11"/>
        <color theme="1"/>
        <rFont val="Calibri"/>
        <family val="2"/>
        <scheme val="minor"/>
      </rPr>
      <t xml:space="preserve">Das Endergebnis hängt unter anderem ab von der prozentualen Aufteilung der Erde in Regionen A) mit klarem Himmel, B) Himmel mit Kumulusbewölkung </t>
    </r>
  </si>
  <si>
    <t>C) niedriger permanenter Bewölkung und D) hoher Bewölkung</t>
  </si>
  <si>
    <t>Betrachtet werden nur die Fälle A) bis C), da D) keine Temperaturänderung hervorruft</t>
  </si>
  <si>
    <t xml:space="preserve">Normierungsfaktor ist </t>
  </si>
  <si>
    <t xml:space="preserve">so gewählt, dass die </t>
  </si>
  <si>
    <t>Summe aller Wichtungs-</t>
  </si>
  <si>
    <t>faktoren 1 ergibt</t>
  </si>
  <si>
    <r>
      <rPr>
        <sz val="11"/>
        <color indexed="8"/>
        <rFont val="Calibri"/>
        <family val="2"/>
      </rPr>
      <t>↓</t>
    </r>
    <r>
      <rPr>
        <sz val="11"/>
        <color theme="1"/>
        <rFont val="Calibri"/>
        <family val="2"/>
        <scheme val="minor"/>
      </rPr>
      <t>Normierungsfaktor =</t>
    </r>
  </si>
  <si>
    <t>Alle Ergebnisse in Watt/Quadratmeter</t>
  </si>
  <si>
    <t>↓  A1): Differenz zu A0), niedrige Dichte 0.01</t>
  </si>
  <si>
    <t>↓  C1): Differenz zu C0) niedrige Dichte 0.01</t>
  </si>
  <si>
    <t>↓  A2): Differenz zu A0), hohe Dichte 0.05</t>
  </si>
  <si>
    <t>↓  B1): Differenz zu B0), niedrige Dichte 0.01</t>
  </si>
  <si>
    <t>↓  B2): Differenz zu B0), hohe Dichte 0.05</t>
  </si>
  <si>
    <t>↓  C2): Differenz zu C0), hohe Dichte 0.05</t>
  </si>
  <si>
    <t>Var$63=moment. Sonneneinstrahlung</t>
  </si>
  <si>
    <t>Var$64=momentane Sonnenintensität</t>
  </si>
  <si>
    <t>Var$64=moment. Sonneneinstrahlung</t>
  </si>
  <si>
    <t>Var$65=momentane Sonnenintensität</t>
  </si>
  <si>
    <r>
      <rPr>
        <b/>
        <sz val="11"/>
        <color indexed="10"/>
        <rFont val="Calibri"/>
        <family val="2"/>
      </rPr>
      <t>B0)</t>
    </r>
    <r>
      <rPr>
        <b/>
        <sz val="11"/>
        <color indexed="8"/>
        <rFont val="Calibri"/>
        <family val="2"/>
      </rPr>
      <t xml:space="preserve"> klarer Himmel mit Kumuluswolken</t>
    </r>
  </si>
  <si>
    <t>Var$65=moment. Sonneneinstrahlung</t>
  </si>
  <si>
    <t>Var$66=momentane Sonnenintensität</t>
  </si>
  <si>
    <t>Var$66=moment. Sonneneinstrahlung</t>
  </si>
  <si>
    <t>Var$67=momentane Sonnenintensität</t>
  </si>
  <si>
    <t>Var$67=moment. Sonneneinstrahlung</t>
  </si>
  <si>
    <t>Var$68=momentane Sonnenintensität</t>
  </si>
  <si>
    <t>A1)</t>
  </si>
  <si>
    <t>B1)</t>
  </si>
  <si>
    <t>C1)</t>
  </si>
  <si>
    <t>A2)</t>
  </si>
  <si>
    <t>B2)</t>
  </si>
  <si>
    <t>C2)</t>
  </si>
  <si>
    <t>↓ -------------------------------- Beiträge zur Strahlungsbilanz  -------  ------------------- ↓</t>
  </si>
  <si>
    <r>
      <t xml:space="preserve">↓--------- niedrige Dichte  0.01---------  </t>
    </r>
    <r>
      <rPr>
        <sz val="11"/>
        <color indexed="8"/>
        <rFont val="Calibri"/>
        <family val="2"/>
      </rPr>
      <t>↓</t>
    </r>
  </si>
  <si>
    <t>↓------------ hohe Dichte 0.05------------↓</t>
  </si>
  <si>
    <r>
      <t>↓</t>
    </r>
    <r>
      <rPr>
        <b/>
        <sz val="9.9"/>
        <color indexed="30"/>
        <rFont val="Calibri"/>
        <family val="2"/>
      </rPr>
      <t xml:space="preserve"> </t>
    </r>
    <r>
      <rPr>
        <b/>
        <sz val="11"/>
        <color indexed="30"/>
        <rFont val="Calibri"/>
        <family val="2"/>
      </rPr>
      <t>=E105ff*$C105ff*$F86</t>
    </r>
  </si>
  <si>
    <r>
      <t>↓</t>
    </r>
    <r>
      <rPr>
        <b/>
        <sz val="9.9"/>
        <color indexed="30"/>
        <rFont val="Calibri"/>
        <family val="2"/>
      </rPr>
      <t xml:space="preserve"> </t>
    </r>
    <r>
      <rPr>
        <b/>
        <sz val="11"/>
        <color indexed="30"/>
        <rFont val="Calibri"/>
        <family val="2"/>
      </rPr>
      <t>=G105ff*$C105ff*$F87</t>
    </r>
  </si>
  <si>
    <r>
      <t>↓</t>
    </r>
    <r>
      <rPr>
        <b/>
        <sz val="9.9"/>
        <color indexed="30"/>
        <rFont val="Calibri"/>
        <family val="2"/>
      </rPr>
      <t xml:space="preserve"> </t>
    </r>
    <r>
      <rPr>
        <b/>
        <sz val="11"/>
        <color indexed="30"/>
        <rFont val="Calibri"/>
        <family val="2"/>
      </rPr>
      <t>=I105ff*$C105ff*$F88</t>
    </r>
  </si>
  <si>
    <r>
      <t>↓</t>
    </r>
    <r>
      <rPr>
        <b/>
        <sz val="9.9"/>
        <color indexed="30"/>
        <rFont val="Calibri"/>
        <family val="2"/>
      </rPr>
      <t xml:space="preserve"> </t>
    </r>
    <r>
      <rPr>
        <b/>
        <sz val="11"/>
        <color indexed="30"/>
        <rFont val="Calibri"/>
        <family val="2"/>
      </rPr>
      <t>=F105ff*$C105ff*$F86</t>
    </r>
  </si>
  <si>
    <r>
      <t>↓</t>
    </r>
    <r>
      <rPr>
        <b/>
        <sz val="9.9"/>
        <color indexed="30"/>
        <rFont val="Calibri"/>
        <family val="2"/>
      </rPr>
      <t xml:space="preserve"> </t>
    </r>
    <r>
      <rPr>
        <b/>
        <sz val="11"/>
        <color indexed="30"/>
        <rFont val="Calibri"/>
        <family val="2"/>
      </rPr>
      <t>=H105ff*$C105ff*$F87</t>
    </r>
  </si>
  <si>
    <r>
      <t>↓</t>
    </r>
    <r>
      <rPr>
        <b/>
        <sz val="9.9"/>
        <color indexed="30"/>
        <rFont val="Calibri"/>
        <family val="2"/>
      </rPr>
      <t xml:space="preserve"> </t>
    </r>
    <r>
      <rPr>
        <b/>
        <sz val="11"/>
        <color indexed="30"/>
        <rFont val="Calibri"/>
        <family val="2"/>
      </rPr>
      <t>=J105ff*$C105ff*$F88</t>
    </r>
  </si>
  <si>
    <t>Summe niedrige Dichte 0.01=</t>
  </si>
  <si>
    <t>Summe hohe Dichte 0.05=</t>
  </si>
  <si>
    <t>=L114+M114+N114</t>
  </si>
  <si>
    <t>=O114+P114+Q114</t>
  </si>
  <si>
    <t>Berechnung Temperaturerhöhung:</t>
  </si>
  <si>
    <r>
      <rPr>
        <b/>
        <sz val="11"/>
        <color indexed="10"/>
        <rFont val="Calibri"/>
        <family val="2"/>
      </rPr>
      <t>↓</t>
    </r>
    <r>
      <rPr>
        <b/>
        <sz val="11"/>
        <color indexed="10"/>
        <rFont val="Calibri"/>
        <family val="2"/>
      </rPr>
      <t>Daraus erfolgende Temperaturerhöhung</t>
    </r>
  </si>
  <si>
    <t xml:space="preserve">hohe Dichte der hohen Schleierwolken </t>
  </si>
  <si>
    <t>extrem hohe Dichte hoher Schleierwolken</t>
  </si>
  <si>
    <t>Berechneter Temperaturanstieg niedrige Dichte 0.01</t>
  </si>
  <si>
    <t>Berechneter Temperaturanstieg hohe Dichte 0.05</t>
  </si>
  <si>
    <t>↓       Kumuluswolken (F59)        ↓</t>
  </si>
  <si>
    <t>↓    Kumulus-Wolken (F60)     ↓</t>
  </si>
  <si>
    <t>↓    Absorption  von                   ↓</t>
  </si>
  <si>
    <t xml:space="preserve"> 0.7  (Std)</t>
  </si>
  <si>
    <t>↓                                           (Var$81)                                            ↓</t>
  </si>
  <si>
    <t xml:space="preserve">Der Treibstoffverbrauch damals war noch um immerhin etwa einen Faktor etwa 70 geringer als heutzutage (vor Corona), gemäß Daten, die mir ein Freund beschafft hat. </t>
  </si>
  <si>
    <t>------------------------------------------------------------------</t>
  </si>
  <si>
    <t>↓   Reflektivität  hoher                   ↓</t>
  </si>
  <si>
    <t>↓    Schleierwolken (F67)     ↓</t>
  </si>
  <si>
    <t xml:space="preserve"> 0.5  (Std)</t>
  </si>
  <si>
    <t>↓                     (F71)                       ↓</t>
  </si>
  <si>
    <t xml:space="preserve">Auswertung: Berechnet werden ausschließlich die 6 Fälle Ergebnis A0) - Ergebnisse A1 bzw. A2), Ergebnis B0) - Ergebnisse B1 bzw. B2), Ergebnis C0) - Ergebnisse C1 bzw. C2) </t>
  </si>
  <si>
    <t>A1) bzw. A2):  klarer Himmel wie A0), aber zusätzlich hohe Schleierbewölkung unterschiedlicher Dichte (0.01, 0.05) infolge Flugverkehr in ca. 11 km Höhe (Temperaturschicht -55 °C)</t>
  </si>
  <si>
    <t>B1) bzw. B2): klarer Himmel mit Kumuluswolken, aber zusätzlich hohe Schleierbewölkung unterschiedlicher Dichte (0.01, 0.05) infolge Flugverkehr in ca. 11 km Höhe (Temperaturschicht -55 °C)</t>
  </si>
  <si>
    <t xml:space="preserve">C1)  bzw C2): Himmel wie CO) mit permanent niedriger Bewölkung, aber zusätzlich hohe Schleierbewölkung infolge Flugverkehr in ca. 11 km Höhe (Temperaturschicht -55 °C) </t>
  </si>
  <si>
    <t>Transmission von Schleierwolken für Sonnenstrahlung</t>
  </si>
  <si>
    <t>Standardwert 0.01</t>
  </si>
  <si>
    <t>Transmission Schleierwolken</t>
  </si>
  <si>
    <t>der Rest geht ungehindert durch. Standardwert für $F$15 (Reflektivität Schleierwolken) ist 0.5, Standardwert für Absorption solar 0.01</t>
  </si>
  <si>
    <t xml:space="preserve">Anmerkung1: Bei schrägem Sonnenstand ist der Einfluss von Kumulus höher, der Anteil derjenigen Strahlen, die ungehindert den Boden erreichen, sinkt. Die Frage ist, um wieviel? </t>
  </si>
  <si>
    <t>Anmerkung2: Klarer Himmel mit Kumuluswolken muss separat betrachtet werden, weil Kumulus in der Regel nur bei hohem Sonnenstand auftreten</t>
  </si>
  <si>
    <t xml:space="preserve">vom Boden reflektierte Sonnenstrahlung </t>
  </si>
  <si>
    <t xml:space="preserve">Wärmestrahlung d. Bodens </t>
  </si>
  <si>
    <t>und wird in sämtliche Richtungen gestreut. Bei schrägem Sonnenstand ist der Weg der Sonnenstrahlen durch die Dunstschicht länger,</t>
  </si>
  <si>
    <t xml:space="preserve">Effektive Dichte X bedeutet also, dass X*$F$15 nach oben und X*(1-($F$15+Absorption)) nach unten gestreut wird, </t>
  </si>
  <si>
    <r>
      <t xml:space="preserve">daher erhöht sich dann die </t>
    </r>
    <r>
      <rPr>
        <b/>
        <sz val="11"/>
        <color indexed="8"/>
        <rFont val="Calibri"/>
        <family val="2"/>
      </rPr>
      <t>effektive</t>
    </r>
    <r>
      <rPr>
        <sz val="11"/>
        <color theme="1"/>
        <rFont val="Calibri"/>
        <family val="2"/>
        <scheme val="minor"/>
      </rPr>
      <t xml:space="preserve"> Dichte. Für die Rückstreu-Fähigkeit eines Dunstpartikels wird der Wert $F$15 angenommen.</t>
    </r>
  </si>
  <si>
    <r>
      <rPr>
        <b/>
        <sz val="11"/>
        <color indexed="8"/>
        <rFont val="Calibri"/>
        <family val="2"/>
      </rPr>
      <t>↓</t>
    </r>
    <r>
      <rPr>
        <b/>
        <sz val="11"/>
        <color indexed="8"/>
        <rFont val="Calibri"/>
        <family val="2"/>
      </rPr>
      <t>24-Stunden-Schnitt</t>
    </r>
  </si>
  <si>
    <r>
      <t xml:space="preserve">eff. Dichte (=Streuanteil) der Schleierbew. </t>
    </r>
    <r>
      <rPr>
        <b/>
        <sz val="11"/>
        <color indexed="30"/>
        <rFont val="Calibri"/>
        <family val="2"/>
      </rPr>
      <t xml:space="preserve">f. Strahlung v. Boden: Multipl.-faktor = </t>
    </r>
  </si>
  <si>
    <r>
      <rPr>
        <b/>
        <sz val="11"/>
        <color indexed="17"/>
        <rFont val="Calibri"/>
        <family val="2"/>
      </rPr>
      <t>von Schleierwolke reflektierte Sonnenstrahlung</t>
    </r>
    <r>
      <rPr>
        <b/>
        <sz val="11"/>
        <color indexed="51"/>
        <rFont val="Calibri"/>
        <family val="2"/>
      </rPr>
      <t xml:space="preserve">, </t>
    </r>
    <r>
      <rPr>
        <b/>
        <sz val="11"/>
        <color indexed="60"/>
        <rFont val="Calibri"/>
        <family val="2"/>
      </rPr>
      <t>(B)</t>
    </r>
  </si>
  <si>
    <r>
      <t xml:space="preserve">Vom Boden reflektiert </t>
    </r>
    <r>
      <rPr>
        <b/>
        <sz val="11"/>
        <color indexed="60"/>
        <rFont val="Calibri"/>
        <family val="2"/>
      </rPr>
      <t>(D)</t>
    </r>
  </si>
  <si>
    <r>
      <t xml:space="preserve">vom Boden reflektierte Sonnenstrahlen durch Schleierw. hindurch </t>
    </r>
    <r>
      <rPr>
        <b/>
        <sz val="11"/>
        <color indexed="60"/>
        <rFont val="Calibri"/>
        <family val="2"/>
      </rPr>
      <t>(E)</t>
    </r>
  </si>
  <si>
    <r>
      <t xml:space="preserve">von Schleierwolke wieder nach unten reflektiert </t>
    </r>
    <r>
      <rPr>
        <b/>
        <sz val="11"/>
        <color indexed="60"/>
        <rFont val="Calibri"/>
        <family val="2"/>
      </rPr>
      <t>(F)</t>
    </r>
  </si>
  <si>
    <r>
      <t xml:space="preserve">doppelt vom Boden reflektierte Sonnenstrahlen durch Schleierw. hindurch </t>
    </r>
    <r>
      <rPr>
        <b/>
        <sz val="11"/>
        <color indexed="60"/>
        <rFont val="Calibri"/>
        <family val="2"/>
      </rPr>
      <t>(H)</t>
    </r>
  </si>
  <si>
    <r>
      <t xml:space="preserve">3-fach vom Boden reflektierte Sonnenstrahlen durch Schleierw. hindurch </t>
    </r>
    <r>
      <rPr>
        <b/>
        <sz val="11"/>
        <color indexed="60"/>
        <rFont val="Calibri"/>
        <family val="2"/>
      </rPr>
      <t>(K)</t>
    </r>
  </si>
  <si>
    <r>
      <t xml:space="preserve">Wärmestrahlung des Bodens </t>
    </r>
    <r>
      <rPr>
        <b/>
        <sz val="11"/>
        <color indexed="60"/>
        <rFont val="Calibri"/>
        <family val="2"/>
      </rPr>
      <t>(M)</t>
    </r>
  </si>
  <si>
    <t>Absorption Schleierwolken für Sonnenstrahlung</t>
  </si>
  <si>
    <r>
      <t xml:space="preserve">Wärmestrahlung vom Boden </t>
    </r>
    <r>
      <rPr>
        <b/>
        <sz val="11"/>
        <color indexed="60"/>
        <rFont val="Calibri"/>
        <family val="2"/>
      </rPr>
      <t>(M)</t>
    </r>
    <r>
      <rPr>
        <sz val="11"/>
        <color theme="1"/>
        <rFont val="Calibri"/>
        <family val="2"/>
        <scheme val="minor"/>
      </rPr>
      <t xml:space="preserve"> verhält sich völlig anders als  Sonnenstrahlung, die die Wolkentröpfchen problemlos durchdringt und kaum absorbiert wird. </t>
    </r>
  </si>
  <si>
    <t>Streuung Richtung Weltraum von Schleierwolken für Wärmestrahlung vom Boden</t>
  </si>
  <si>
    <t>Standardwert 0.02</t>
  </si>
  <si>
    <t xml:space="preserve">Um dem Rechnung zu tragen, wird ein Streukoeffizient in Richtung Weltraum ($F$14) eingeführt (nominell 0.02), der beliebig variierbar ist. </t>
  </si>
  <si>
    <t>= 1 - Refllekt. (F16) - Absorpt. (F13)</t>
  </si>
  <si>
    <t>$F$14=Streukoeff. Richtung Weltraum</t>
  </si>
  <si>
    <t xml:space="preserve">Temperaturen annähernd gleich sind. Aufgrund des Temperaturunterschieds zwischen Boden und Schleierwolke könnte jedoch eine geringer Anteil trotzdem in den Weltraum gestreut werden.  </t>
  </si>
  <si>
    <t>$O$24=Wärmestrahl. f. 45° Breite</t>
  </si>
  <si>
    <t>$H$142=eff. Dichte Schleierw. f. Strahlung v. Boden</t>
  </si>
  <si>
    <t>=$O$24*(1-$H$142*(1-$F$14))</t>
  </si>
  <si>
    <r>
      <t xml:space="preserve">=Var154^2/Var150,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</t>
    </r>
    <r>
      <rPr>
        <b/>
        <sz val="11"/>
        <color indexed="60"/>
        <rFont val="Calibri"/>
        <family val="2"/>
      </rPr>
      <t>(E)</t>
    </r>
    <r>
      <rPr>
        <sz val="11"/>
        <color theme="1"/>
        <rFont val="Calibri"/>
        <family val="2"/>
        <scheme val="minor"/>
      </rPr>
      <t xml:space="preserve"> Strahlen nochmals aufmultipliziert</t>
    </r>
  </si>
  <si>
    <t>=Var152*$O$20</t>
  </si>
  <si>
    <t>=Var146*$O$20</t>
  </si>
  <si>
    <t>RB = Reflekt. Boden =$O$20</t>
  </si>
  <si>
    <t>$F$16=Refl. Schleierw.</t>
  </si>
  <si>
    <t>$F$16=Reflektionskoeff.  Schleierwolken für Sonnenstrahlung (nominell 0.5)</t>
  </si>
  <si>
    <t xml:space="preserve">=Var$63 für 45° </t>
  </si>
  <si>
    <t>$O$20=Refl.-koeff. Boden f. 45 ° Breite</t>
  </si>
  <si>
    <t>$O$24=Wärmestrahlung f. 45° Breite</t>
  </si>
  <si>
    <t>Siehe Anmerkung1 Zeilen 170/171</t>
  </si>
  <si>
    <t>Var$63=moment. Sonneneinstr f. 45 ° Breite</t>
  </si>
  <si>
    <t>Var$27=Kumulus an/aus</t>
  </si>
  <si>
    <t>$F$15=Reflektivität Kumuluswolken (0.7)</t>
  </si>
  <si>
    <t>=Var$63*Var$27*$F$15</t>
  </si>
  <si>
    <t>=moment. Sonneneinstr. (Var$63) * Refl.Boden ($O$20) * moment. Tramsmiss.-faktor Kumulus (Var$28) zum Quadrat (Strahlen müssen 2 x durch die Wolke)</t>
  </si>
  <si>
    <t>=$O$24*(1-Var$27)</t>
  </si>
  <si>
    <t>$M$9*($F$7+273)^4*Var$27</t>
  </si>
  <si>
    <t>$F$16=Reflekt. Schleierwolken Richtung Weltraum</t>
  </si>
  <si>
    <t>$F$15=Refl. Kumuluswolken (0.7)</t>
  </si>
  <si>
    <t>$F$16=Reflekt. Schleierwolken für Sonnenstrahlung</t>
  </si>
  <si>
    <t>$O$24=Wärmestrahlung für 45° Breite</t>
  </si>
  <si>
    <r>
      <t xml:space="preserve">Als ideale Schwarzkörperstrahlung wird </t>
    </r>
    <r>
      <rPr>
        <b/>
        <sz val="11"/>
        <color indexed="60"/>
        <rFont val="Calibri"/>
        <family val="2"/>
      </rPr>
      <t>(M)</t>
    </r>
    <r>
      <rPr>
        <sz val="11"/>
        <rFont val="Calibri"/>
        <family val="2"/>
      </rPr>
      <t xml:space="preserve"> von den gleichfalls als ideale Schwarzkörper aufgefassten Wolkentröpfchen zu nahezu 100 % absorbiert, zumindest wenn die</t>
    </r>
  </si>
  <si>
    <t xml:space="preserve">Anmekrung3: Hier geht es hauptsächlich darum, den Effekt der zeitlichen Begrenzung von Kumulus im Zusammenhang mit der Sonneneinstrahlung zu erfassen. </t>
  </si>
  <si>
    <t>Die dabei auftretenden zusätzlichen Effekte wie beispielsweise seitliche Streuung an Kumulus werden ignoriert, sie spielen keine große Rolle</t>
  </si>
  <si>
    <t xml:space="preserve">Von Kumuluswolke reflektierte Sonnenstrahlung </t>
  </si>
  <si>
    <t xml:space="preserve">vom Boden reflektierte Sonnenstrahlen </t>
  </si>
  <si>
    <t>Wärmestrahlung des Bodens</t>
  </si>
  <si>
    <t>Wärmeemission der Kumulus-Wolken,  T= (°C)</t>
  </si>
  <si>
    <r>
      <rPr>
        <b/>
        <sz val="11"/>
        <color indexed="17"/>
        <rFont val="Calibri"/>
        <family val="2"/>
      </rPr>
      <t xml:space="preserve">von Schleierwolke reflektierte Sonnenstrahlung </t>
    </r>
    <r>
      <rPr>
        <b/>
        <sz val="11"/>
        <color indexed="60"/>
        <rFont val="Calibri"/>
        <family val="2"/>
      </rPr>
      <t>(B)</t>
    </r>
  </si>
  <si>
    <r>
      <t xml:space="preserve">Vom Boden bzw. Kumulus reflektiert </t>
    </r>
    <r>
      <rPr>
        <b/>
        <sz val="11"/>
        <color indexed="60"/>
        <rFont val="Calibri"/>
        <family val="2"/>
      </rPr>
      <t>(D)</t>
    </r>
  </si>
  <si>
    <r>
      <t xml:space="preserve">Durch Schleierwolke durchgehende Sonnenstrahlen </t>
    </r>
    <r>
      <rPr>
        <b/>
        <sz val="11"/>
        <color indexed="60"/>
        <rFont val="Calibri"/>
        <family val="2"/>
      </rPr>
      <t>(C)</t>
    </r>
  </si>
  <si>
    <t>F13=Absorpt. Schleierw.</t>
  </si>
  <si>
    <r>
      <t xml:space="preserve">von Kumuluswolke reflektierte Sonnenstrahlung durch Schleierw. hindurch </t>
    </r>
    <r>
      <rPr>
        <b/>
        <sz val="11"/>
        <color indexed="60"/>
        <rFont val="Calibri"/>
        <family val="2"/>
      </rPr>
      <t>(E</t>
    </r>
    <r>
      <rPr>
        <b/>
        <vertAlign val="subscript"/>
        <sz val="11"/>
        <color indexed="60"/>
        <rFont val="Calibri"/>
        <family val="2"/>
      </rPr>
      <t>K</t>
    </r>
    <r>
      <rPr>
        <b/>
        <sz val="11"/>
        <color indexed="60"/>
        <rFont val="Calibri"/>
        <family val="2"/>
      </rPr>
      <t>)</t>
    </r>
  </si>
  <si>
    <r>
      <t>vom Boden reflektierte Sonnenstrahlen durch Schleierw. hindurch</t>
    </r>
    <r>
      <rPr>
        <b/>
        <sz val="11"/>
        <color indexed="51"/>
        <rFont val="Calibri"/>
        <family val="2"/>
      </rPr>
      <t xml:space="preserve"> </t>
    </r>
    <r>
      <rPr>
        <b/>
        <sz val="11"/>
        <color indexed="60"/>
        <rFont val="Calibri"/>
        <family val="2"/>
      </rPr>
      <t>(E</t>
    </r>
    <r>
      <rPr>
        <b/>
        <vertAlign val="subscript"/>
        <sz val="11"/>
        <color indexed="60"/>
        <rFont val="Calibri"/>
        <family val="2"/>
      </rPr>
      <t>B</t>
    </r>
    <r>
      <rPr>
        <b/>
        <sz val="11"/>
        <color indexed="60"/>
        <rFont val="Calibri"/>
        <family val="2"/>
      </rPr>
      <t>)</t>
    </r>
  </si>
  <si>
    <t>Sonnenstr. muss insgesamt 2*durch Schleierbew., daher noch multiplizieren mit</t>
  </si>
  <si>
    <t>$H$142=effekt. Dichte  Schleierwolken für Bodenstrahlung</t>
  </si>
  <si>
    <t>=$O$24*(1-Var$27)*(1-$H$142)</t>
  </si>
  <si>
    <t>$M$9*($F$7+273)^4*Var$27*(1-$H$142)</t>
  </si>
  <si>
    <r>
      <t xml:space="preserve">$H$142=effekt. Dichte hoh. Schleierwolken für </t>
    </r>
    <r>
      <rPr>
        <sz val="11"/>
        <color indexed="8"/>
        <rFont val="Calibri"/>
        <family val="2"/>
      </rPr>
      <t>Bodenstrahlung</t>
    </r>
  </si>
  <si>
    <t>RK=Refl. Kumulus=$F$15</t>
  </si>
  <si>
    <t>=Var192*($O$20*(1-Var$27)+$F$15*Var$27)</t>
  </si>
  <si>
    <r>
      <t xml:space="preserve">Wärmestrahlung des Bodens </t>
    </r>
    <r>
      <rPr>
        <b/>
        <sz val="11"/>
        <color indexed="60"/>
        <rFont val="Calibri"/>
        <family val="2"/>
      </rPr>
      <t>(M</t>
    </r>
    <r>
      <rPr>
        <b/>
        <vertAlign val="subscript"/>
        <sz val="11"/>
        <color indexed="60"/>
        <rFont val="Calibri"/>
        <family val="2"/>
      </rPr>
      <t>B</t>
    </r>
    <r>
      <rPr>
        <b/>
        <sz val="11"/>
        <color indexed="60"/>
        <rFont val="Calibri"/>
        <family val="2"/>
      </rPr>
      <t>)</t>
    </r>
  </si>
  <si>
    <r>
      <t xml:space="preserve">Wärmestrahlung der Kumuluswolken </t>
    </r>
    <r>
      <rPr>
        <b/>
        <sz val="11"/>
        <color indexed="60"/>
        <rFont val="Calibri"/>
        <family val="2"/>
      </rPr>
      <t>(M</t>
    </r>
    <r>
      <rPr>
        <b/>
        <vertAlign val="subscript"/>
        <sz val="11"/>
        <color indexed="60"/>
        <rFont val="Calibri"/>
        <family val="2"/>
      </rPr>
      <t>K</t>
    </r>
    <r>
      <rPr>
        <b/>
        <sz val="11"/>
        <color indexed="60"/>
        <rFont val="Calibri"/>
        <family val="2"/>
      </rPr>
      <t>)</t>
    </r>
  </si>
  <si>
    <t>T=</t>
  </si>
  <si>
    <t>° C</t>
  </si>
  <si>
    <t>$F$16=Reflekt. Schleierw. f. Sonnenstrahlung</t>
  </si>
  <si>
    <r>
      <t xml:space="preserve">Von niederer Bewölkung reflektiert </t>
    </r>
    <r>
      <rPr>
        <b/>
        <sz val="11"/>
        <color indexed="60"/>
        <rFont val="Calibri"/>
        <family val="2"/>
      </rPr>
      <t>(D)</t>
    </r>
  </si>
  <si>
    <r>
      <t xml:space="preserve">von niedr. Bewölk. reflekt. Sonnenstr. durch Schleierw. hindurch </t>
    </r>
    <r>
      <rPr>
        <b/>
        <sz val="11"/>
        <color indexed="60"/>
        <rFont val="Calibri"/>
        <family val="2"/>
      </rPr>
      <t>(E)</t>
    </r>
  </si>
  <si>
    <t>RW = Reflekt. Wolke =$F$15</t>
  </si>
  <si>
    <t>$F$16=Reflekt.  Wolken</t>
  </si>
  <si>
    <t>$F$13=Absorpt.  Wolken</t>
  </si>
  <si>
    <t>$F$13=Absorption Schleierwolke</t>
  </si>
  <si>
    <r>
      <t xml:space="preserve">Wärmestahlung der niedr. Bewölkung </t>
    </r>
    <r>
      <rPr>
        <b/>
        <sz val="11"/>
        <color indexed="60"/>
        <rFont val="Calibri"/>
        <family val="2"/>
      </rPr>
      <t>(M)</t>
    </r>
  </si>
  <si>
    <t xml:space="preserve">$H$142=effekt. Dichte Schleierwolken für Strahlung von unten </t>
  </si>
  <si>
    <r>
      <t>Die braunrot gekennzeichneten Buchstaben</t>
    </r>
    <r>
      <rPr>
        <sz val="11"/>
        <color indexed="60"/>
        <rFont val="Calibri"/>
        <family val="2"/>
      </rPr>
      <t xml:space="preserve"> </t>
    </r>
    <r>
      <rPr>
        <b/>
        <sz val="11"/>
        <color indexed="60"/>
        <rFont val="Calibri"/>
        <family val="2"/>
      </rPr>
      <t>(A)</t>
    </r>
    <r>
      <rPr>
        <sz val="11"/>
        <color theme="1"/>
        <rFont val="Calibri"/>
        <family val="2"/>
        <scheme val="minor"/>
      </rPr>
      <t xml:space="preserve"> bis </t>
    </r>
    <r>
      <rPr>
        <b/>
        <sz val="11"/>
        <color indexed="60"/>
        <rFont val="Calibri"/>
        <family val="2"/>
      </rPr>
      <t>(Q)</t>
    </r>
    <r>
      <rPr>
        <sz val="11"/>
        <color theme="1"/>
        <rFont val="Calibri"/>
        <family val="2"/>
        <scheme val="minor"/>
      </rPr>
      <t xml:space="preserve"> hinter den </t>
    </r>
    <r>
      <rPr>
        <b/>
        <sz val="11"/>
        <color indexed="17"/>
        <rFont val="Calibri"/>
        <family val="2"/>
      </rPr>
      <t>Bezeichnungen für die Einzelbeiträge</t>
    </r>
    <r>
      <rPr>
        <sz val="11"/>
        <color theme="1"/>
        <rFont val="Calibri"/>
        <family val="2"/>
        <scheme val="minor"/>
      </rPr>
      <t xml:space="preserve"> beziehen sich auf die  </t>
    </r>
  </si>
  <si>
    <t xml:space="preserve">in meiner TN "Strahlaufteilung.pdf" idendifizierten Einzelbeiträge </t>
  </si>
  <si>
    <t xml:space="preserve">=Var$64 für 50° </t>
  </si>
  <si>
    <t>$P$20=Refl.-koeff. Boden f. 50 ° Breite</t>
  </si>
  <si>
    <t>$P$24=Wärmestrahlung f. 50° Breite</t>
  </si>
  <si>
    <r>
      <t xml:space="preserve">Var$63=moment. Sonneneinstr. = </t>
    </r>
    <r>
      <rPr>
        <b/>
        <sz val="11"/>
        <color indexed="60"/>
        <rFont val="Calibri"/>
        <family val="2"/>
      </rPr>
      <t>(A)</t>
    </r>
  </si>
  <si>
    <r>
      <t xml:space="preserve">Wieder vom Boden reflektiert </t>
    </r>
    <r>
      <rPr>
        <b/>
        <sz val="11"/>
        <color indexed="60"/>
        <rFont val="Calibri"/>
        <family val="2"/>
      </rPr>
      <t xml:space="preserve">(G) </t>
    </r>
    <r>
      <rPr>
        <sz val="11"/>
        <rFont val="Calibri"/>
        <family val="2"/>
      </rPr>
      <t>= (</t>
    </r>
    <r>
      <rPr>
        <b/>
        <sz val="11"/>
        <color indexed="60"/>
        <rFont val="Calibri"/>
        <family val="2"/>
      </rPr>
      <t>F)</t>
    </r>
    <r>
      <rPr>
        <sz val="11"/>
        <rFont val="Calibri"/>
        <family val="2"/>
      </rPr>
      <t>*RB</t>
    </r>
  </si>
  <si>
    <r>
      <t>=</t>
    </r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 xml:space="preserve">*$H142*$F$16 </t>
    </r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</si>
  <si>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=Var148</t>
    </r>
  </si>
  <si>
    <r>
      <t>=</t>
    </r>
    <r>
      <rPr>
        <b/>
        <sz val="11"/>
        <color indexed="60"/>
        <rFont val="Calibri"/>
        <family val="2"/>
      </rPr>
      <t>(C)</t>
    </r>
    <r>
      <rPr>
        <sz val="11"/>
        <color theme="1"/>
        <rFont val="Calibri"/>
        <family val="2"/>
        <scheme val="minor"/>
      </rPr>
      <t>*RB</t>
    </r>
  </si>
  <si>
    <r>
      <t xml:space="preserve">effektive Dichte (=Streuanteil) der Schleierbewölkung </t>
    </r>
    <r>
      <rPr>
        <b/>
        <sz val="11"/>
        <color indexed="30"/>
        <rFont val="Calibri"/>
        <family val="2"/>
      </rPr>
      <t>für Sonnenstrahlung</t>
    </r>
    <r>
      <rPr>
        <sz val="11"/>
        <color indexed="30"/>
        <rFont val="Calibri"/>
        <family val="2"/>
      </rPr>
      <t xml:space="preserve"> als Funktion des Sonnenstands</t>
    </r>
    <r>
      <rPr>
        <b/>
        <sz val="11"/>
        <color indexed="60"/>
        <rFont val="Calibri"/>
        <family val="2"/>
      </rPr>
      <t xml:space="preserve"> (A)</t>
    </r>
    <r>
      <rPr>
        <sz val="11"/>
        <color indexed="30"/>
        <rFont val="Calibri"/>
        <family val="2"/>
      </rPr>
      <t>:</t>
    </r>
  </si>
  <si>
    <r>
      <t>von Schleier-Wolke  emittierte Wärmestrahlung, (T=  -55 °C)</t>
    </r>
    <r>
      <rPr>
        <b/>
        <sz val="11"/>
        <color indexed="17"/>
        <rFont val="Calibri"/>
        <family val="2"/>
      </rPr>
      <t xml:space="preserve">: </t>
    </r>
    <r>
      <rPr>
        <b/>
        <sz val="11"/>
        <color indexed="60"/>
        <rFont val="Calibri"/>
        <family val="2"/>
      </rPr>
      <t>(Q)</t>
    </r>
  </si>
  <si>
    <r>
      <t xml:space="preserve">Für die Berechnung von Belang sind die Beiträge </t>
    </r>
    <r>
      <rPr>
        <b/>
        <sz val="11"/>
        <color indexed="60"/>
        <rFont val="Calibri"/>
        <family val="2"/>
      </rPr>
      <t>(A), (B), (E), (H), (K), (M)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und </t>
    </r>
    <r>
      <rPr>
        <b/>
        <sz val="11"/>
        <color indexed="60"/>
        <rFont val="Calibri"/>
        <family val="2"/>
      </rPr>
      <t>(Q)</t>
    </r>
    <r>
      <rPr>
        <sz val="11"/>
        <color theme="1"/>
        <rFont val="Calibri"/>
        <family val="2"/>
        <scheme val="minor"/>
      </rPr>
      <t xml:space="preserve"> aus meiner TN </t>
    </r>
    <r>
      <rPr>
        <b/>
        <sz val="11"/>
        <color indexed="8"/>
        <rFont val="Calibri"/>
        <family val="2"/>
      </rPr>
      <t>"Strahlaufteilung.pdf"</t>
    </r>
    <r>
      <rPr>
        <sz val="11"/>
        <color theme="1"/>
        <rFont val="Calibri"/>
        <family val="2"/>
        <scheme val="minor"/>
      </rPr>
      <t xml:space="preserve">  </t>
    </r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</si>
  <si>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=Var194</t>
    </r>
  </si>
  <si>
    <r>
      <t>=</t>
    </r>
    <r>
      <rPr>
        <b/>
        <sz val="11"/>
        <color indexed="60"/>
        <rFont val="Calibri"/>
        <family val="2"/>
      </rPr>
      <t>(C)</t>
    </r>
    <r>
      <rPr>
        <sz val="11"/>
        <color theme="1"/>
        <rFont val="Calibri"/>
        <family val="2"/>
        <scheme val="minor"/>
      </rPr>
      <t>*(RB*(1-Var$27)+RK*Var$27)</t>
    </r>
  </si>
  <si>
    <r>
      <t xml:space="preserve">Wieder vom Boden oder Kumulus reflektiert </t>
    </r>
    <r>
      <rPr>
        <b/>
        <sz val="11"/>
        <color indexed="60"/>
        <rFont val="Calibri"/>
        <family val="2"/>
      </rPr>
      <t xml:space="preserve">(G) </t>
    </r>
    <r>
      <rPr>
        <sz val="11"/>
        <rFont val="Calibri"/>
        <family val="2"/>
      </rPr>
      <t xml:space="preserve">= </t>
    </r>
    <r>
      <rPr>
        <b/>
        <sz val="11"/>
        <color indexed="60"/>
        <rFont val="Calibri"/>
        <family val="2"/>
      </rPr>
      <t>(F)</t>
    </r>
    <r>
      <rPr>
        <sz val="11"/>
        <rFont val="Calibri"/>
        <family val="2"/>
      </rPr>
      <t>*RB</t>
    </r>
  </si>
  <si>
    <r>
      <t xml:space="preserve">=Var207^2/(Var196+Var201),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(</t>
    </r>
    <r>
      <rPr>
        <b/>
        <sz val="11"/>
        <color indexed="60"/>
        <rFont val="Calibri"/>
        <family val="2"/>
      </rPr>
      <t>(E</t>
    </r>
    <r>
      <rPr>
        <b/>
        <vertAlign val="subscript"/>
        <sz val="11"/>
        <color indexed="60"/>
        <rFont val="Calibri"/>
        <family val="2"/>
      </rPr>
      <t>K</t>
    </r>
    <r>
      <rPr>
        <b/>
        <sz val="11"/>
        <color indexed="60"/>
        <rFont val="Calibri"/>
        <family val="2"/>
      </rPr>
      <t>)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indexed="60"/>
        <rFont val="Calibri"/>
        <family val="2"/>
      </rPr>
      <t>(E</t>
    </r>
    <r>
      <rPr>
        <b/>
        <vertAlign val="subscript"/>
        <sz val="11"/>
        <color indexed="60"/>
        <rFont val="Calibri"/>
        <family val="2"/>
      </rPr>
      <t>B</t>
    </r>
    <r>
      <rPr>
        <b/>
        <sz val="11"/>
        <color indexed="60"/>
        <rFont val="Calibri"/>
        <family val="2"/>
      </rPr>
      <t>)</t>
    </r>
    <r>
      <rPr>
        <sz val="11"/>
        <color theme="1"/>
        <rFont val="Calibri"/>
        <family val="2"/>
        <scheme val="minor"/>
      </rPr>
      <t>) Strahlen nochmals aufmultipliziert</t>
    </r>
  </si>
  <si>
    <t>Multiplikationsfaktor für Wärmeemission von Schleierwolken (Dichteabhängig)</t>
  </si>
  <si>
    <t>(Dichte 0.01)</t>
  </si>
  <si>
    <t>(Dichte 0.05)</t>
  </si>
  <si>
    <t>=$M$9*($F$9+273)^4*$F$10*$F$18</t>
  </si>
  <si>
    <t>Wärmestr. in Richtung Weltraum ist bei kugelförmigen vereinzelten Objekten bis zum Doppelten der projizierten Fläche $F$10</t>
  </si>
  <si>
    <r>
      <rPr>
        <b/>
        <sz val="11"/>
        <color indexed="30"/>
        <rFont val="Calibri"/>
        <family val="2"/>
      </rPr>
      <t>Achtung:</t>
    </r>
    <r>
      <rPr>
        <sz val="11"/>
        <color indexed="30"/>
        <rFont val="Calibri"/>
        <family val="2"/>
      </rPr>
      <t xml:space="preserve"> </t>
    </r>
  </si>
  <si>
    <t>Für die niedrige Dichte von 0.01 wird ein Multiplikationsfaktor von $F$18=1.99 nominell geschätzt</t>
  </si>
  <si>
    <t>=Var231*$F$15</t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</si>
  <si>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=Var233</t>
    </r>
  </si>
  <si>
    <t>=Var237*$F$15</t>
  </si>
  <si>
    <r>
      <t xml:space="preserve">Wieder von niedr. Wolke reflektiert </t>
    </r>
    <r>
      <rPr>
        <b/>
        <sz val="11"/>
        <color indexed="60"/>
        <rFont val="Calibri"/>
        <family val="2"/>
      </rPr>
      <t xml:space="preserve">(G) </t>
    </r>
    <r>
      <rPr>
        <sz val="11"/>
        <rFont val="Calibri"/>
        <family val="2"/>
      </rPr>
      <t xml:space="preserve">= </t>
    </r>
    <r>
      <rPr>
        <b/>
        <sz val="11"/>
        <color indexed="60"/>
        <rFont val="Calibri"/>
        <family val="2"/>
      </rPr>
      <t>(F)</t>
    </r>
    <r>
      <rPr>
        <sz val="11"/>
        <rFont val="Calibri"/>
        <family val="2"/>
      </rPr>
      <t>*RW</t>
    </r>
  </si>
  <si>
    <r>
      <t xml:space="preserve">=Var239^2/Var235,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</t>
    </r>
    <r>
      <rPr>
        <b/>
        <sz val="11"/>
        <color indexed="60"/>
        <rFont val="Calibri"/>
        <family val="2"/>
      </rPr>
      <t>(E)</t>
    </r>
    <r>
      <rPr>
        <sz val="11"/>
        <color theme="1"/>
        <rFont val="Calibri"/>
        <family val="2"/>
        <scheme val="minor"/>
      </rPr>
      <t xml:space="preserve"> Strahlen nochmals aufmultipliziert</t>
    </r>
  </si>
  <si>
    <r>
      <rPr>
        <b/>
        <sz val="14"/>
        <color indexed="60"/>
        <rFont val="Calibri"/>
        <family val="2"/>
      </rPr>
      <t xml:space="preserve">Achtung!!!: </t>
    </r>
    <r>
      <rPr>
        <b/>
        <sz val="11"/>
        <color indexed="60"/>
        <rFont val="Calibri"/>
        <family val="2"/>
      </rPr>
      <t>Es sollten hier in Tabelle2 keinerlei Zeilen verschoben werden, sonst stimmen die sich auf Zeilennummern beziehenden erläuternden Kommentare nicht mehr</t>
    </r>
  </si>
  <si>
    <r>
      <t>Sonnenpositionen (Zeilen 32</t>
    </r>
    <r>
      <rPr>
        <b/>
        <sz val="11"/>
        <color indexed="1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- 51) aus "Rechneronline.de/Sonnenpositionen/"  für Datum 22.9. (Tag- und Nachtgleiche)</t>
    </r>
  </si>
  <si>
    <t xml:space="preserve">- Transmissionsfaktor für Kumulus-Wolken </t>
  </si>
  <si>
    <t>von Bewölkung reflektierte Sonnenstrahlung</t>
  </si>
  <si>
    <t xml:space="preserve">Wärmestahlung der Bewölkung </t>
  </si>
  <si>
    <t>=Var$63*$F$15</t>
  </si>
  <si>
    <r>
      <t>=</t>
    </r>
    <r>
      <rPr>
        <b/>
        <sz val="11"/>
        <color indexed="60"/>
        <rFont val="Calibri"/>
        <family val="2"/>
      </rPr>
      <t>(C)</t>
    </r>
    <r>
      <rPr>
        <sz val="11"/>
        <color theme="1"/>
        <rFont val="Calibri"/>
        <family val="2"/>
        <scheme val="minor"/>
      </rPr>
      <t>*RW</t>
    </r>
  </si>
  <si>
    <t>=Var$64*Var$262*$F$16</t>
  </si>
  <si>
    <t>Var$262=eff. Dichte Schleierwolken für Sonneneinstrahlung als Funktion des Einfallswinkels</t>
  </si>
  <si>
    <t>Var$262=effekt. Dichte Schleierw. f. Sonnenstrahlung als Funktion des Einfallswinkels</t>
  </si>
  <si>
    <t>=Var$64*Var$27*$F$15</t>
  </si>
  <si>
    <t>=Var$64*$F$15</t>
  </si>
  <si>
    <t>=Var$64*$P$20</t>
  </si>
  <si>
    <t>RB = Reflekt. Boden =$P$20</t>
  </si>
  <si>
    <t>=moment. Sonneneinstr. (Var$64) * Refl.Boden ($P$20) * moment. Tramsmiss.-faktor Kumulus (Var$28) zum Quadrat (Strahlen müssen 2 x durch die Wolke)</t>
  </si>
  <si>
    <t>=$P$24*(1-Var$27)</t>
  </si>
  <si>
    <t>=Var$63*(1-($F$16+$F$13)*Var$141)</t>
  </si>
  <si>
    <r>
      <t>Var$63=</t>
    </r>
    <r>
      <rPr>
        <b/>
        <sz val="11"/>
        <color indexed="60"/>
        <rFont val="Calibri"/>
        <family val="2"/>
      </rPr>
      <t>(A)</t>
    </r>
  </si>
  <si>
    <t>Var$141=eff. Dichte Schleierbew. f. Sonnenstr.</t>
  </si>
  <si>
    <t>=Var$64*(1-($F$16+$F$13)*Var$262)</t>
  </si>
  <si>
    <r>
      <t>=</t>
    </r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 xml:space="preserve">*$H$263*$F$16 </t>
    </r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</si>
  <si>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=Var269</t>
    </r>
  </si>
  <si>
    <t>=Var273*$P$20</t>
  </si>
  <si>
    <t>$H$263=eff. Dichte Schleierbew. f. Bodenstrahlung</t>
  </si>
  <si>
    <t>=Var274*(1-($F$16+$F$13)*$H$263)</t>
  </si>
  <si>
    <r>
      <t xml:space="preserve">=Var275^2/Var271,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</t>
    </r>
    <r>
      <rPr>
        <b/>
        <sz val="11"/>
        <color indexed="60"/>
        <rFont val="Calibri"/>
        <family val="2"/>
      </rPr>
      <t>(E)</t>
    </r>
    <r>
      <rPr>
        <sz val="11"/>
        <color theme="1"/>
        <rFont val="Calibri"/>
        <family val="2"/>
        <scheme val="minor"/>
      </rPr>
      <t xml:space="preserve"> Strahlen nochmals aufmultipliziert</t>
    </r>
  </si>
  <si>
    <t>=$P$24*(1-$H$263*(1-$F$14))</t>
  </si>
  <si>
    <t>$H$263=eff. Dichte Schleierw. f. Strahlung v. Boden</t>
  </si>
  <si>
    <t>Var$262=eff. Dichte Schleierbew. f. Sonnenstr.</t>
  </si>
  <si>
    <r>
      <t>Var$64=</t>
    </r>
    <r>
      <rPr>
        <b/>
        <sz val="11"/>
        <color indexed="60"/>
        <rFont val="Calibri"/>
        <family val="2"/>
      </rPr>
      <t>(A)</t>
    </r>
  </si>
  <si>
    <t>einmal v. Weltraum aus *(1-Var$262*$F$16) und einmal v. Boden aus *(1-$H$263*$F$16)</t>
  </si>
  <si>
    <t>Var$262 und $H$263 sind die effektiven Dichten der Schleierwolke f. Sonneneinstr. auf den Boden, bzw Abstrahlung vom Boden aus</t>
  </si>
  <si>
    <t>(1-Var$262*$F$16)*(1-$H$263*$F$16)</t>
  </si>
  <si>
    <t>=$P$24*(1-Var$27)*(1-$H$263)</t>
  </si>
  <si>
    <t>$H$263=effekt. Dichte  Schleierwolken für Bodenstrahlung</t>
  </si>
  <si>
    <t>$M$9*($F$7+273)^4*Var$27*(1-$H$263)</t>
  </si>
  <si>
    <t>$H$263=effekt. Dichte hoh. Schleierwolken für Bodenstrahlung</t>
  </si>
  <si>
    <t xml:space="preserve">$H$263=effekt. Dichte Schleierwolken für Strahlung von unten </t>
  </si>
  <si>
    <t>$F$13=Absorpt. Schleierw.</t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</si>
  <si>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=Var308</t>
    </r>
  </si>
  <si>
    <t>=Var320*(1-($F$16+$F$13)*$H$263)</t>
  </si>
  <si>
    <r>
      <t xml:space="preserve">=Var321^2/(Var310+Var315),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(</t>
    </r>
    <r>
      <rPr>
        <b/>
        <sz val="11"/>
        <color indexed="60"/>
        <rFont val="Calibri"/>
        <family val="2"/>
      </rPr>
      <t>(E</t>
    </r>
    <r>
      <rPr>
        <b/>
        <vertAlign val="subscript"/>
        <sz val="11"/>
        <color indexed="60"/>
        <rFont val="Calibri"/>
        <family val="2"/>
      </rPr>
      <t>K</t>
    </r>
    <r>
      <rPr>
        <b/>
        <sz val="11"/>
        <color indexed="60"/>
        <rFont val="Calibri"/>
        <family val="2"/>
      </rPr>
      <t>)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indexed="60"/>
        <rFont val="Calibri"/>
        <family val="2"/>
      </rPr>
      <t>(E</t>
    </r>
    <r>
      <rPr>
        <b/>
        <vertAlign val="subscript"/>
        <sz val="11"/>
        <color indexed="60"/>
        <rFont val="Calibri"/>
        <family val="2"/>
      </rPr>
      <t>B</t>
    </r>
    <r>
      <rPr>
        <b/>
        <sz val="11"/>
        <color indexed="60"/>
        <rFont val="Calibri"/>
        <family val="2"/>
      </rPr>
      <t>)</t>
    </r>
    <r>
      <rPr>
        <sz val="11"/>
        <color theme="1"/>
        <rFont val="Calibri"/>
        <family val="2"/>
        <scheme val="minor"/>
      </rPr>
      <t>) Strahlen nochmals aufmultipliziert</t>
    </r>
  </si>
  <si>
    <t>Var$64=moment. Sonneneinstr f. 50 ° Breite</t>
  </si>
  <si>
    <t>$P$24=Wärmestrahlung für 50° Breite</t>
  </si>
  <si>
    <t>$P$24=Wärmestrahl. f. 50° Breite</t>
  </si>
  <si>
    <r>
      <rPr>
        <b/>
        <sz val="11"/>
        <color indexed="10"/>
        <rFont val="Calibri"/>
        <family val="2"/>
      </rPr>
      <t>C0)</t>
    </r>
    <r>
      <rPr>
        <b/>
        <sz val="11"/>
        <color indexed="8"/>
        <rFont val="Calibri"/>
        <family val="2"/>
      </rPr>
      <t xml:space="preserve"> permanent niedrige Bewölkung,</t>
    </r>
  </si>
  <si>
    <t>=Var345*$F$15</t>
  </si>
  <si>
    <t>=Var352*(1-($F$16+$F$13)*$H$263)</t>
  </si>
  <si>
    <r>
      <t xml:space="preserve">=Var353^2/Var349,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</t>
    </r>
    <r>
      <rPr>
        <b/>
        <sz val="11"/>
        <color indexed="60"/>
        <rFont val="Calibri"/>
        <family val="2"/>
      </rPr>
      <t>(E)</t>
    </r>
    <r>
      <rPr>
        <sz val="11"/>
        <color theme="1"/>
        <rFont val="Calibri"/>
        <family val="2"/>
        <scheme val="minor"/>
      </rPr>
      <t xml:space="preserve"> Strahlen nochmals aufmultipliziert</t>
    </r>
  </si>
  <si>
    <t xml:space="preserve">=Var$65 für 55° </t>
  </si>
  <si>
    <t>$Q$20=Refl.-koeff. Boden f. 55 ° Breite</t>
  </si>
  <si>
    <t>$Q$24=Wärmestrahlung f. 55° Breite</t>
  </si>
  <si>
    <t>=Var$65*$Q$20</t>
  </si>
  <si>
    <t>=Var$65*Var$27*$F$15</t>
  </si>
  <si>
    <t>=Var$65*$F$15</t>
  </si>
  <si>
    <t>=Var$65*Var$376*$F$16</t>
  </si>
  <si>
    <t>Var$376=eff. Dichte Schleierwolken für Sonneneinstrahlung als Funktion des Einfallswinkels</t>
  </si>
  <si>
    <t>=Var$65*(1-($F$16+$F$13)*Var$376)</t>
  </si>
  <si>
    <t>Var$376=eff. Dichte Schleierbew. f. Sonnenstr.</t>
  </si>
  <si>
    <t>Var$376=effekt. Dichte Schleierw. f. Sonnenstrahlung als Funktion des Einfallswinkels</t>
  </si>
  <si>
    <r>
      <t>Var$65=</t>
    </r>
    <r>
      <rPr>
        <b/>
        <sz val="11"/>
        <color indexed="60"/>
        <rFont val="Calibri"/>
        <family val="2"/>
      </rPr>
      <t>(A)</t>
    </r>
  </si>
  <si>
    <t>$H$377=eff. Dichte Schleierbew. f. Bodenstrahlung</t>
  </si>
  <si>
    <t>$H$377=eff. Dichte Schleierw. f. Strahlung v. Boden</t>
  </si>
  <si>
    <t>(1-Var$376*$F$16)*(1-$H$377*$F$16)</t>
  </si>
  <si>
    <t>einmal v. Weltraum aus *(1-Var$376*$F$16) und einmal v. Boden aus *(1-$H$377*$F$16)</t>
  </si>
  <si>
    <t>Var$376 und $H$377 sind die effektiven Dichten der Schleierwolke f. Sonneneinstr. auf den Boden, bzw Abstrahlung vom Boden aus</t>
  </si>
  <si>
    <t>$H$377=effekt. Dichte  Schleierwolken für Bodenstrahlung</t>
  </si>
  <si>
    <t>$M$9*($F$7+273)^4*Var$27*(1-$H$377)</t>
  </si>
  <si>
    <t>$H$377=effekt. Dichte hoh. Schleierwolken für Bodenstrahlung</t>
  </si>
  <si>
    <t xml:space="preserve">$H$377=effekt. Dichte Schleierwolken für Strahlung von unten </t>
  </si>
  <si>
    <t>RB = Reflekt. Boden =$Q$20</t>
  </si>
  <si>
    <r>
      <t>=</t>
    </r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 xml:space="preserve">*$H$377*$F$16 </t>
    </r>
  </si>
  <si>
    <t>=$Q$24*(1-$H$377*(1-$F$14))</t>
  </si>
  <si>
    <t>$Q$24=Wärmestrahl. f. 55° Breite</t>
  </si>
  <si>
    <t>Var$65=moment. Sonneneinstr f. 55 ° Breite</t>
  </si>
  <si>
    <t>=$Q$24*(1-Var$27)</t>
  </si>
  <si>
    <t>=moment. Sonneneinstr. (Var$65) * Refl.Boden ($Q$20) * moment. Tramsmiss.-faktor Kumulus (Var$28) zum Quadrat (Strahlen müssen 2 x durch die Wolke)</t>
  </si>
  <si>
    <t>=Var306*($P$20*(1-Var$27)+$F$15*Var$27)</t>
  </si>
  <si>
    <t>=$Q$24*(1-Var$27)*(1-$H$377)</t>
  </si>
  <si>
    <t>$Q$24=Wärmestrahlung für 55° Breite</t>
  </si>
  <si>
    <r>
      <t>Var$65=moment. Sonneneinstrahlung =</t>
    </r>
    <r>
      <rPr>
        <b/>
        <sz val="11"/>
        <color indexed="60"/>
        <rFont val="Calibri"/>
        <family val="2"/>
      </rPr>
      <t>(A)</t>
    </r>
  </si>
  <si>
    <t>=$M$9*($F$7+273)^4</t>
  </si>
  <si>
    <t>==$M$9*($F$7+273)^4*(1-$H$377)</t>
  </si>
  <si>
    <t>$M$9*($F$7+273)^4</t>
  </si>
  <si>
    <t>=$M$9*($F$7+273)^4*(1-$H$142)</t>
  </si>
  <si>
    <r>
      <t xml:space="preserve">$F$7= </t>
    </r>
    <r>
      <rPr>
        <b/>
        <sz val="11"/>
        <color indexed="8"/>
        <rFont val="Calibri"/>
        <family val="2"/>
      </rPr>
      <t>-</t>
    </r>
    <r>
      <rPr>
        <sz val="11"/>
        <color theme="1"/>
        <rFont val="Calibri"/>
        <family val="2"/>
        <scheme val="minor"/>
      </rPr>
      <t xml:space="preserve"> 5°C</t>
    </r>
  </si>
  <si>
    <t>=$M$9*($F$7+273)^4*(1-$H$263)</t>
  </si>
  <si>
    <t>$F$15=Reflektivität  Wolken</t>
  </si>
  <si>
    <t>=Var206*(1-($F$16+$F$13)*$H$142)</t>
  </si>
  <si>
    <t>=Var$63*Var$141*$F$16</t>
  </si>
  <si>
    <t>Var$141=eff. Dichte Schleierwolken für Sonneneinstrahlung als Funktion des Einfallswinkels</t>
  </si>
  <si>
    <r>
      <t>=</t>
    </r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 xml:space="preserve">*(1-($F$16+$F$13)*$H$142)    </t>
    </r>
  </si>
  <si>
    <t>$H$142=eff. Dichte Schleierbew. f. Bodenstrahlung</t>
  </si>
  <si>
    <r>
      <t>=</t>
    </r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 xml:space="preserve">*$H$142*$F$16 </t>
    </r>
  </si>
  <si>
    <t>=Var153*(1-($F$16+$F$13)*$H$142)</t>
  </si>
  <si>
    <t>Var$141=effekt. Dichte Schleierw. f. Sonnenstrahlung als Funktion des Einfallswinkels</t>
  </si>
  <si>
    <t>=Var233*(1-($F$16+$F$13)*$H$142)</t>
  </si>
  <si>
    <t>=Var$63*$O$20</t>
  </si>
  <si>
    <t>=Var238*(1-($F$16+$F$13)*$H$142)</t>
  </si>
  <si>
    <r>
      <t xml:space="preserve">effektive Dichte (=Streuanteil) der Schleierbewölkung </t>
    </r>
    <r>
      <rPr>
        <b/>
        <sz val="11"/>
        <color indexed="30"/>
        <rFont val="Calibri"/>
        <family val="2"/>
      </rPr>
      <t>für Sonnenstrahlung</t>
    </r>
    <r>
      <rPr>
        <sz val="11"/>
        <color indexed="30"/>
        <rFont val="Calibri"/>
        <family val="2"/>
      </rPr>
      <t xml:space="preserve"> als Funktion des Sonnenstands:</t>
    </r>
  </si>
  <si>
    <r>
      <t xml:space="preserve">effektive Dichte (=Streuanteil) der Schleierbewölkung </t>
    </r>
    <r>
      <rPr>
        <b/>
        <sz val="11"/>
        <color indexed="30"/>
        <rFont val="Calibri"/>
        <family val="2"/>
      </rPr>
      <t>für Sonnenstrahlung</t>
    </r>
    <r>
      <rPr>
        <sz val="11"/>
        <color indexed="30"/>
        <rFont val="Calibri"/>
        <family val="2"/>
      </rPr>
      <t xml:space="preserve"> als Funktion des Sonnenstands: </t>
    </r>
    <r>
      <rPr>
        <b/>
        <sz val="11"/>
        <color indexed="60"/>
        <rFont val="Calibri"/>
        <family val="2"/>
      </rPr>
      <t>(A)</t>
    </r>
  </si>
  <si>
    <r>
      <t xml:space="preserve">Var$64=moment. Sonneneinstr. = </t>
    </r>
    <r>
      <rPr>
        <b/>
        <sz val="11"/>
        <color indexed="60"/>
        <rFont val="Calibri"/>
        <family val="2"/>
      </rPr>
      <t>(A)</t>
    </r>
  </si>
  <si>
    <t>=Var267*$P$20</t>
  </si>
  <si>
    <t>=Var347*(1-($F$16+$F$13)*$H$263)</t>
  </si>
  <si>
    <r>
      <t>Var347=</t>
    </r>
    <r>
      <rPr>
        <b/>
        <sz val="11"/>
        <color indexed="60"/>
        <rFont val="Calibri"/>
        <family val="2"/>
      </rPr>
      <t>(D)</t>
    </r>
  </si>
  <si>
    <r>
      <t xml:space="preserve">Var$65=moment. Sonneneinstr. = </t>
    </r>
    <r>
      <rPr>
        <b/>
        <sz val="11"/>
        <color indexed="60"/>
        <rFont val="Calibri"/>
        <family val="2"/>
      </rPr>
      <t>(A)</t>
    </r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</si>
  <si>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=Var383</t>
    </r>
  </si>
  <si>
    <t>=Var387*$Q$20</t>
  </si>
  <si>
    <r>
      <t>=</t>
    </r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 xml:space="preserve">*(1-($F$16+$F$13)*$H$377)    </t>
    </r>
  </si>
  <si>
    <r>
      <t>=</t>
    </r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 xml:space="preserve">*(1-($F$16+$F$13)*$H$263)    </t>
    </r>
  </si>
  <si>
    <t>=Var388*(1-($F$16+$F$13)*$H$377)</t>
  </si>
  <si>
    <t>=Var381*$Q$20</t>
  </si>
  <si>
    <r>
      <t xml:space="preserve">=Var389^2/Var385,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</t>
    </r>
    <r>
      <rPr>
        <b/>
        <sz val="11"/>
        <color indexed="60"/>
        <rFont val="Calibri"/>
        <family val="2"/>
      </rPr>
      <t>(E)</t>
    </r>
    <r>
      <rPr>
        <sz val="11"/>
        <color theme="1"/>
        <rFont val="Calibri"/>
        <family val="2"/>
        <scheme val="minor"/>
      </rPr>
      <t xml:space="preserve"> Strahlen nochmals aufmultipliziert</t>
    </r>
  </si>
  <si>
    <t>=Var420*($Q$20*(1-Var$27)+$F$15*Var$27)</t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</si>
  <si>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=Var422</t>
    </r>
  </si>
  <si>
    <t>=Var434*(1-($F$16+$F$13)*$H$377)</t>
  </si>
  <si>
    <r>
      <t xml:space="preserve">=Var435^2/(Var424+Var429),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(</t>
    </r>
    <r>
      <rPr>
        <b/>
        <sz val="11"/>
        <color indexed="60"/>
        <rFont val="Calibri"/>
        <family val="2"/>
      </rPr>
      <t>(E</t>
    </r>
    <r>
      <rPr>
        <b/>
        <vertAlign val="subscript"/>
        <sz val="11"/>
        <color indexed="60"/>
        <rFont val="Calibri"/>
        <family val="2"/>
      </rPr>
      <t>K</t>
    </r>
    <r>
      <rPr>
        <b/>
        <sz val="11"/>
        <color indexed="60"/>
        <rFont val="Calibri"/>
        <family val="2"/>
      </rPr>
      <t>)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indexed="60"/>
        <rFont val="Calibri"/>
        <family val="2"/>
      </rPr>
      <t>(E</t>
    </r>
    <r>
      <rPr>
        <b/>
        <vertAlign val="subscript"/>
        <sz val="11"/>
        <color indexed="60"/>
        <rFont val="Calibri"/>
        <family val="2"/>
      </rPr>
      <t>B</t>
    </r>
    <r>
      <rPr>
        <b/>
        <sz val="11"/>
        <color indexed="60"/>
        <rFont val="Calibri"/>
        <family val="2"/>
      </rPr>
      <t>)</t>
    </r>
    <r>
      <rPr>
        <sz val="11"/>
        <color theme="1"/>
        <rFont val="Calibri"/>
        <family val="2"/>
        <scheme val="minor"/>
      </rPr>
      <t>) Strahlen nochmals aufmultipliziert</t>
    </r>
  </si>
  <si>
    <r>
      <t xml:space="preserve">$F$7= </t>
    </r>
    <r>
      <rPr>
        <b/>
        <sz val="10"/>
        <color indexed="8"/>
        <rFont val="Calibri"/>
        <family val="2"/>
      </rPr>
      <t xml:space="preserve">- </t>
    </r>
    <r>
      <rPr>
        <sz val="10"/>
        <color indexed="8"/>
        <rFont val="Calibri"/>
        <family val="2"/>
      </rPr>
      <t>5</t>
    </r>
  </si>
  <si>
    <t>=Var459*$F$15</t>
  </si>
  <si>
    <t>=Var461*(1-($F$16+$F$13)*$H$377)</t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</si>
  <si>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=Var461</t>
    </r>
  </si>
  <si>
    <t>=Var465*$F$15</t>
  </si>
  <si>
    <t>=Var466*(1-($F$16+$F$13)*$H$377)</t>
  </si>
  <si>
    <r>
      <t xml:space="preserve">=Var467^2/Var463,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</t>
    </r>
    <r>
      <rPr>
        <b/>
        <sz val="11"/>
        <color indexed="60"/>
        <rFont val="Calibri"/>
        <family val="2"/>
      </rPr>
      <t>(E)</t>
    </r>
    <r>
      <rPr>
        <sz val="11"/>
        <color theme="1"/>
        <rFont val="Calibri"/>
        <family val="2"/>
        <scheme val="minor"/>
      </rPr>
      <t xml:space="preserve"> Strahlen nochmals aufmultipliziert</t>
    </r>
  </si>
  <si>
    <r>
      <t xml:space="preserve">$F$7= </t>
    </r>
    <r>
      <rPr>
        <b/>
        <sz val="11"/>
        <color indexed="8"/>
        <rFont val="Calibri"/>
        <family val="2"/>
      </rPr>
      <t>-</t>
    </r>
    <r>
      <rPr>
        <sz val="11"/>
        <color theme="1"/>
        <rFont val="Calibri"/>
        <family val="2"/>
        <scheme val="minor"/>
      </rPr>
      <t>5°</t>
    </r>
  </si>
  <si>
    <t>$R$20=Refl.-koeff. Boden f. 60 ° Breite</t>
  </si>
  <si>
    <t>$R$24=Wärmestrahlung f. 60° Breite</t>
  </si>
  <si>
    <t xml:space="preserve">=Var$66 für 60° </t>
  </si>
  <si>
    <t>=Var$66*$R$20</t>
  </si>
  <si>
    <t>=Var$66*Var$490*$F$16</t>
  </si>
  <si>
    <r>
      <t xml:space="preserve">Var$66=moment. Sonneneinstr. = </t>
    </r>
    <r>
      <rPr>
        <b/>
        <sz val="11"/>
        <color indexed="60"/>
        <rFont val="Calibri"/>
        <family val="2"/>
      </rPr>
      <t>(A)</t>
    </r>
  </si>
  <si>
    <t>Var$490=eff. Dichte Schleierwolken für Sonneneinstrahlung als Funktion des Einfallswinkels</t>
  </si>
  <si>
    <t>=Var$66*(1-($F$16+$F$13)*Var$490)</t>
  </si>
  <si>
    <r>
      <t>Var$66=</t>
    </r>
    <r>
      <rPr>
        <b/>
        <sz val="11"/>
        <color indexed="60"/>
        <rFont val="Calibri"/>
        <family val="2"/>
      </rPr>
      <t>(A)</t>
    </r>
  </si>
  <si>
    <t>RB = Reflekt. Boden =$R$20</t>
  </si>
  <si>
    <t>=Var495*$R$20</t>
  </si>
  <si>
    <t>$H$491=eff. Dichte Schleierbew. f. Bodenstrahlung</t>
  </si>
  <si>
    <t>=Var502*(1-($F$16+$F$13)*$H$491)</t>
  </si>
  <si>
    <t>$H$491=eff. Dichte Schleierw. f. Strahlung v. Boden</t>
  </si>
  <si>
    <t>$H$491=effekt. Dichte  Schleierwolken für Bodenstrahlung</t>
  </si>
  <si>
    <t>$M$9*($F$7+273)^4*Var$27*(1-$H$491)</t>
  </si>
  <si>
    <t>$H$491=effekt. Dichte hoh. Schleierwolken für Bodenstrahlung</t>
  </si>
  <si>
    <t>==$M$9*($F$7+273)^4*(1-$H$491)</t>
  </si>
  <si>
    <t xml:space="preserve">$H$491=effekt. Dichte Schleierwolken für Strahlung von unten </t>
  </si>
  <si>
    <t>Var$490=eff. Dichte Schleierbew. f. Sonnenstr.</t>
  </si>
  <si>
    <t>(1-Var$490*$F$16)*(1-$H$491*$F$16)</t>
  </si>
  <si>
    <t>einmal v. Weltraum aus *(1-Var$490*$F$16) und einmal v. Boden aus *(1-$H$491*$F$16)</t>
  </si>
  <si>
    <t>Var$490 und $H$491 sind die effektiven Dichten der Schleierwolke f. Sonneneinstr. auf den Boden, bzw Abstrahlung vom Boden aus</t>
  </si>
  <si>
    <t>Var$490=effekt. Dichte Schleierw. f. Sonnenstrahlung als Funktion des Einfallswinkels</t>
  </si>
  <si>
    <t>=Var501*$R$20</t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</si>
  <si>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=Var497</t>
    </r>
  </si>
  <si>
    <r>
      <t xml:space="preserve">=Var503^2/Var499,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</t>
    </r>
    <r>
      <rPr>
        <b/>
        <sz val="11"/>
        <color indexed="60"/>
        <rFont val="Calibri"/>
        <family val="2"/>
      </rPr>
      <t>(E)</t>
    </r>
    <r>
      <rPr>
        <sz val="11"/>
        <color theme="1"/>
        <rFont val="Calibri"/>
        <family val="2"/>
        <scheme val="minor"/>
      </rPr>
      <t xml:space="preserve"> Strahlen nochmals aufmultipliziert</t>
    </r>
  </si>
  <si>
    <t>=$R$24*(1-$H$491*(1-$F$14))</t>
  </si>
  <si>
    <t>=$R$24*(1-Var$27)</t>
  </si>
  <si>
    <t>=$R$24*(1-Var$27)*(1-$H$491)</t>
  </si>
  <si>
    <t>=Var$66*Var$27*$F$15</t>
  </si>
  <si>
    <t>=moment. Sonneneinstr. (Var$66) * Refl.Boden ($R$20) * moment. Tramsmiss.-faktor Kumulus (Var$28) zum Quadrat (Strahlen müssen 2 x durch die Wolke)</t>
  </si>
  <si>
    <t>=Var$66*$F$15</t>
  </si>
  <si>
    <t>=Var534*($R$20*(1-Var$27)+$F$15*Var$27)</t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</si>
  <si>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=Var536</t>
    </r>
  </si>
  <si>
    <t>=Var547*($R$20*(1-Var$27)+$F$15*Var$27)</t>
  </si>
  <si>
    <t>=Var433*($Q$20*(1-Var$27)+$F$15*Var$27)</t>
  </si>
  <si>
    <t>=Var319*($P$20*(1-Var$27)+$F$15*Var$27)</t>
  </si>
  <si>
    <t>=Var205*($O$20*(1-Var$27)+$F$15*Var$27)</t>
  </si>
  <si>
    <t>=Var548*(1-($F$16+$F$13)*$H$491)</t>
  </si>
  <si>
    <r>
      <t xml:space="preserve">=Var549^2/(Var538+Var543),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(</t>
    </r>
    <r>
      <rPr>
        <b/>
        <sz val="11"/>
        <color indexed="60"/>
        <rFont val="Calibri"/>
        <family val="2"/>
      </rPr>
      <t>(E</t>
    </r>
    <r>
      <rPr>
        <b/>
        <vertAlign val="subscript"/>
        <sz val="11"/>
        <color indexed="60"/>
        <rFont val="Calibri"/>
        <family val="2"/>
      </rPr>
      <t>K</t>
    </r>
    <r>
      <rPr>
        <b/>
        <sz val="11"/>
        <color indexed="60"/>
        <rFont val="Calibri"/>
        <family val="2"/>
      </rPr>
      <t>)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indexed="60"/>
        <rFont val="Calibri"/>
        <family val="2"/>
      </rPr>
      <t>(E</t>
    </r>
    <r>
      <rPr>
        <b/>
        <vertAlign val="subscript"/>
        <sz val="11"/>
        <color indexed="60"/>
        <rFont val="Calibri"/>
        <family val="2"/>
      </rPr>
      <t>B</t>
    </r>
    <r>
      <rPr>
        <b/>
        <sz val="11"/>
        <color indexed="60"/>
        <rFont val="Calibri"/>
        <family val="2"/>
      </rPr>
      <t>)</t>
    </r>
    <r>
      <rPr>
        <sz val="11"/>
        <color theme="1"/>
        <rFont val="Calibri"/>
        <family val="2"/>
        <scheme val="minor"/>
      </rPr>
      <t>) Strahlen nochmals aufmultipliziert</t>
    </r>
  </si>
  <si>
    <t>=Var573*$F$15</t>
  </si>
  <si>
    <r>
      <rPr>
        <b/>
        <sz val="11"/>
        <color indexed="60"/>
        <rFont val="Calibri"/>
        <family val="2"/>
      </rPr>
      <t>(D)</t>
    </r>
    <r>
      <rPr>
        <sz val="11"/>
        <color theme="1"/>
        <rFont val="Calibri"/>
        <family val="2"/>
        <scheme val="minor"/>
      </rPr>
      <t>=Var575</t>
    </r>
  </si>
  <si>
    <r>
      <t xml:space="preserve">=Var581^2/Var577,   es wird einfach der Faktor zwischen doppelt </t>
    </r>
    <r>
      <rPr>
        <b/>
        <sz val="11"/>
        <color indexed="60"/>
        <rFont val="Calibri"/>
        <family val="2"/>
      </rPr>
      <t>(H)</t>
    </r>
    <r>
      <rPr>
        <sz val="11"/>
        <color theme="1"/>
        <rFont val="Calibri"/>
        <family val="2"/>
        <scheme val="minor"/>
      </rPr>
      <t xml:space="preserve"> und einfach reflektierten </t>
    </r>
    <r>
      <rPr>
        <b/>
        <sz val="11"/>
        <color indexed="60"/>
        <rFont val="Calibri"/>
        <family val="2"/>
      </rPr>
      <t>(E)</t>
    </r>
    <r>
      <rPr>
        <sz val="11"/>
        <color theme="1"/>
        <rFont val="Calibri"/>
        <family val="2"/>
        <scheme val="minor"/>
      </rPr>
      <t xml:space="preserve"> Strahlen nochmals aufmultipliziert</t>
    </r>
  </si>
  <si>
    <t xml:space="preserve">=Var$67 für 65° </t>
  </si>
  <si>
    <t>$S$24=Wärmestrahlung f. 65° Breite</t>
  </si>
  <si>
    <t>$S$20=Refl.-koeff. Boden f. 65 ° Breite</t>
  </si>
  <si>
    <t>Wärmestrahlung d. Bodens</t>
  </si>
  <si>
    <t>vom Boden reflektierte Sonnenstrahlung</t>
  </si>
  <si>
    <t>=Var$67*$S$20</t>
  </si>
  <si>
    <t>=Var$67*Var$27*$F$15</t>
  </si>
  <si>
    <t>=Var$67*$F$15</t>
  </si>
  <si>
    <t>=Var$67*Var$604*$F$16</t>
  </si>
  <si>
    <t>Var$604=eff. Dichte Schleierwolken für Sonneneinstrahlung als Funktion des Einfallswinkels</t>
  </si>
  <si>
    <t>=Var$67*(1-($F$16+$F$13)*Var$604)</t>
  </si>
  <si>
    <t>Var$604=eff. Dichte Schleierbew. f. Sonnenstr.</t>
  </si>
  <si>
    <t>Var$604=effekt. Dichte Schleierw. f. Sonnenstrahlung als Funktion des Einfallswinkels</t>
  </si>
  <si>
    <t>RB = Reflekt. Boden =$S$20</t>
  </si>
  <si>
    <t>=Var609*$S$20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</si>
</sst>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0.00000"/>
  </numFmts>
  <fonts count="5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color indexed="30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17"/>
      <name val="Calibri"/>
      <family val="2"/>
    </font>
    <font>
      <b/>
      <sz val="11"/>
      <name val="Calibri"/>
      <family val="2"/>
    </font>
    <font>
      <b/>
      <sz val="11"/>
      <color indexed="17"/>
      <name val="Calibri"/>
      <family val="2"/>
    </font>
    <font>
      <sz val="11"/>
      <color indexed="36"/>
      <name val="Calibri"/>
      <family val="2"/>
    </font>
    <font>
      <b/>
      <sz val="11"/>
      <color indexed="51"/>
      <name val="Calibri"/>
      <family val="2"/>
    </font>
    <font>
      <sz val="11"/>
      <color indexed="30"/>
      <name val="Calibri"/>
      <family val="2"/>
    </font>
    <font>
      <b/>
      <sz val="11"/>
      <color indexed="5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30"/>
      <name val="Calibri"/>
      <family val="2"/>
    </font>
    <font>
      <b/>
      <sz val="11"/>
      <color indexed="36"/>
      <name val="Calibri"/>
      <family val="2"/>
    </font>
    <font>
      <b/>
      <sz val="14"/>
      <color indexed="10"/>
      <name val="Calibri"/>
      <family val="2"/>
    </font>
    <font>
      <sz val="14"/>
      <color indexed="8"/>
      <name val="Calibri"/>
      <family val="2"/>
    </font>
    <font>
      <b/>
      <sz val="14"/>
      <color indexed="60"/>
      <name val="Calibri"/>
      <family val="2"/>
    </font>
    <font>
      <sz val="11"/>
      <color indexed="60"/>
      <name val="Calibri"/>
      <family val="2"/>
    </font>
    <font>
      <sz val="14"/>
      <color indexed="60"/>
      <name val="Calibri"/>
      <family val="2"/>
    </font>
    <font>
      <b/>
      <sz val="14"/>
      <color indexed="8"/>
      <name val="Calibri"/>
      <family val="2"/>
    </font>
    <font>
      <sz val="11"/>
      <color indexed="17"/>
      <name val="Calibri"/>
      <family val="2"/>
    </font>
    <font>
      <b/>
      <sz val="11"/>
      <color indexed="60"/>
      <name val="Calibri"/>
      <family val="2"/>
    </font>
    <font>
      <b/>
      <sz val="11"/>
      <color indexed="10"/>
      <name val="Calibri"/>
      <family val="2"/>
    </font>
    <font>
      <b/>
      <u/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sz val="8.8000000000000007"/>
      <color indexed="8"/>
      <name val="Calibri"/>
      <family val="2"/>
    </font>
    <font>
      <b/>
      <i/>
      <u/>
      <sz val="11"/>
      <color indexed="10"/>
      <name val="Calibri"/>
      <family val="2"/>
    </font>
    <font>
      <b/>
      <sz val="9.9"/>
      <color indexed="8"/>
      <name val="Calibri"/>
      <family val="2"/>
    </font>
    <font>
      <b/>
      <sz val="14"/>
      <color indexed="36"/>
      <name val="Calibri"/>
      <family val="2"/>
    </font>
    <font>
      <b/>
      <sz val="14"/>
      <color indexed="36"/>
      <name val="Calibri"/>
      <family val="2"/>
    </font>
    <font>
      <b/>
      <i/>
      <sz val="11"/>
      <color indexed="10"/>
      <name val="Calibri"/>
      <family val="2"/>
    </font>
    <font>
      <b/>
      <sz val="11"/>
      <color indexed="30"/>
      <name val="Calibri"/>
      <family val="2"/>
    </font>
    <font>
      <b/>
      <sz val="9.9"/>
      <color indexed="30"/>
      <name val="Calibri"/>
      <family val="2"/>
    </font>
    <font>
      <b/>
      <sz val="11"/>
      <color indexed="40"/>
      <name val="Calibri"/>
      <family val="2"/>
    </font>
    <font>
      <b/>
      <sz val="11"/>
      <color indexed="60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0"/>
      <color indexed="30"/>
      <name val="Calibri"/>
      <family val="2"/>
    </font>
    <font>
      <b/>
      <vertAlign val="subscript"/>
      <sz val="11"/>
      <color indexed="60"/>
      <name val="Calibri"/>
      <family val="2"/>
    </font>
    <font>
      <b/>
      <sz val="10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vertAlign val="superscript"/>
      <sz val="11"/>
      <color indexed="60"/>
      <name val="Calibri"/>
      <family val="2"/>
    </font>
    <font>
      <vertAlign val="superscript"/>
      <sz val="11"/>
      <color indexed="8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10"/>
      </left>
      <right/>
      <top/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/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0" xfId="0" applyNumberFormat="1"/>
    <xf numFmtId="2" fontId="0" fillId="0" borderId="0" xfId="0" applyNumberFormat="1"/>
    <xf numFmtId="0" fontId="2" fillId="0" borderId="0" xfId="0" applyFont="1"/>
    <xf numFmtId="0" fontId="0" fillId="0" borderId="0" xfId="0" quotePrefix="1" applyNumberFormat="1"/>
    <xf numFmtId="0" fontId="0" fillId="0" borderId="0" xfId="0" quotePrefix="1"/>
    <xf numFmtId="0" fontId="4" fillId="0" borderId="0" xfId="0" applyFont="1"/>
    <xf numFmtId="0" fontId="5" fillId="0" borderId="0" xfId="0" applyFont="1"/>
    <xf numFmtId="2" fontId="6" fillId="0" borderId="0" xfId="0" applyNumberFormat="1" applyFont="1"/>
    <xf numFmtId="2" fontId="2" fillId="0" borderId="0" xfId="0" applyNumberFormat="1" applyFont="1"/>
    <xf numFmtId="2" fontId="7" fillId="0" borderId="0" xfId="0" applyNumberFormat="1" applyFont="1"/>
    <xf numFmtId="0" fontId="0" fillId="0" borderId="0" xfId="0" applyFont="1"/>
    <xf numFmtId="0" fontId="7" fillId="0" borderId="0" xfId="0" applyFont="1"/>
    <xf numFmtId="0" fontId="6" fillId="0" borderId="0" xfId="0" quotePrefix="1" applyFont="1" applyAlignment="1">
      <alignment horizontal="center"/>
    </xf>
    <xf numFmtId="0" fontId="6" fillId="0" borderId="0" xfId="0" applyFont="1"/>
    <xf numFmtId="0" fontId="6" fillId="0" borderId="0" xfId="0" applyNumberFormat="1" applyFont="1"/>
    <xf numFmtId="0" fontId="8" fillId="0" borderId="0" xfId="0" applyFont="1"/>
    <xf numFmtId="0" fontId="9" fillId="0" borderId="0" xfId="0" quotePrefix="1" applyFont="1" applyAlignment="1">
      <alignment horizontal="center"/>
    </xf>
    <xf numFmtId="0" fontId="4" fillId="0" borderId="0" xfId="0" quotePrefix="1" applyFont="1"/>
    <xf numFmtId="2" fontId="10" fillId="0" borderId="0" xfId="0" applyNumberFormat="1" applyFont="1"/>
    <xf numFmtId="0" fontId="10" fillId="0" borderId="0" xfId="0" applyFont="1"/>
    <xf numFmtId="0" fontId="7" fillId="0" borderId="0" xfId="0" applyNumberFormat="1" applyFont="1"/>
    <xf numFmtId="0" fontId="11" fillId="0" borderId="0" xfId="0" applyFont="1"/>
    <xf numFmtId="11" fontId="11" fillId="0" borderId="0" xfId="0" applyNumberFormat="1" applyFont="1"/>
    <xf numFmtId="2" fontId="0" fillId="0" borderId="0" xfId="0" quotePrefix="1" applyNumberFormat="1"/>
    <xf numFmtId="2" fontId="10" fillId="0" borderId="0" xfId="0" quotePrefix="1" applyNumberFormat="1" applyFont="1"/>
    <xf numFmtId="2" fontId="13" fillId="0" borderId="0" xfId="0" applyNumberFormat="1" applyFont="1"/>
    <xf numFmtId="0" fontId="15" fillId="0" borderId="0" xfId="0" applyFont="1"/>
    <xf numFmtId="2" fontId="0" fillId="0" borderId="0" xfId="0" applyNumberFormat="1" applyFont="1"/>
    <xf numFmtId="0" fontId="15" fillId="0" borderId="0" xfId="0" applyNumberFormat="1" applyFont="1"/>
    <xf numFmtId="0" fontId="17" fillId="0" borderId="0" xfId="0" applyFont="1"/>
    <xf numFmtId="0" fontId="19" fillId="0" borderId="0" xfId="0" quotePrefix="1" applyFont="1"/>
    <xf numFmtId="2" fontId="8" fillId="0" borderId="0" xfId="0" applyNumberFormat="1" applyFont="1"/>
    <xf numFmtId="2" fontId="8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quotePrefix="1" applyAlignment="1">
      <alignment horizontal="center"/>
    </xf>
    <xf numFmtId="2" fontId="5" fillId="0" borderId="0" xfId="0" applyNumberFormat="1" applyFont="1"/>
    <xf numFmtId="164" fontId="0" fillId="0" borderId="0" xfId="0" applyNumberFormat="1" applyFont="1"/>
    <xf numFmtId="164" fontId="2" fillId="0" borderId="0" xfId="0" applyNumberFormat="1" applyFont="1"/>
    <xf numFmtId="0" fontId="20" fillId="0" borderId="0" xfId="0" applyFont="1"/>
    <xf numFmtId="0" fontId="0" fillId="0" borderId="0" xfId="0" applyNumberFormat="1" applyAlignment="1">
      <alignment horizontal="center"/>
    </xf>
    <xf numFmtId="2" fontId="21" fillId="0" borderId="0" xfId="0" applyNumberFormat="1" applyFont="1"/>
    <xf numFmtId="2" fontId="22" fillId="0" borderId="0" xfId="0" applyNumberFormat="1" applyFont="1"/>
    <xf numFmtId="0" fontId="23" fillId="0" borderId="0" xfId="0" applyFont="1"/>
    <xf numFmtId="0" fontId="24" fillId="0" borderId="0" xfId="0" applyFont="1"/>
    <xf numFmtId="2" fontId="23" fillId="0" borderId="0" xfId="0" applyNumberFormat="1" applyFont="1"/>
    <xf numFmtId="2" fontId="25" fillId="0" borderId="0" xfId="0" applyNumberFormat="1" applyFont="1"/>
    <xf numFmtId="0" fontId="26" fillId="0" borderId="0" xfId="0" applyFont="1"/>
    <xf numFmtId="0" fontId="2" fillId="0" borderId="0" xfId="0" applyFont="1" applyAlignment="1">
      <alignment horizontal="right"/>
    </xf>
    <xf numFmtId="2" fontId="11" fillId="0" borderId="0" xfId="0" applyNumberFormat="1" applyFont="1"/>
    <xf numFmtId="0" fontId="27" fillId="0" borderId="0" xfId="0" applyFont="1"/>
    <xf numFmtId="2" fontId="27" fillId="0" borderId="0" xfId="0" applyNumberFormat="1" applyFont="1"/>
    <xf numFmtId="2" fontId="24" fillId="0" borderId="0" xfId="0" applyNumberFormat="1" applyFont="1"/>
    <xf numFmtId="0" fontId="6" fillId="0" borderId="0" xfId="0" quotePrefix="1" applyNumberFormat="1" applyFont="1"/>
    <xf numFmtId="2" fontId="6" fillId="0" borderId="0" xfId="0" quotePrefix="1" applyNumberFormat="1" applyFont="1"/>
    <xf numFmtId="2" fontId="15" fillId="0" borderId="0" xfId="0" applyNumberFormat="1" applyFont="1"/>
    <xf numFmtId="0" fontId="28" fillId="0" borderId="0" xfId="0" quotePrefix="1" applyFont="1"/>
    <xf numFmtId="0" fontId="2" fillId="0" borderId="0" xfId="0" quotePrefix="1" applyFont="1"/>
    <xf numFmtId="2" fontId="2" fillId="0" borderId="0" xfId="0" quotePrefix="1" applyNumberFormat="1" applyFont="1"/>
    <xf numFmtId="2" fontId="28" fillId="0" borderId="0" xfId="0" applyNumberFormat="1" applyFont="1"/>
    <xf numFmtId="0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28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2" fontId="7" fillId="0" borderId="0" xfId="0" quotePrefix="1" applyNumberFormat="1" applyFont="1" applyAlignment="1">
      <alignment horizontal="center"/>
    </xf>
    <xf numFmtId="0" fontId="29" fillId="0" borderId="0" xfId="0" applyFont="1"/>
    <xf numFmtId="2" fontId="28" fillId="0" borderId="0" xfId="0" quotePrefix="1" applyNumberFormat="1" applyFont="1" applyAlignment="1">
      <alignment horizontal="left"/>
    </xf>
    <xf numFmtId="0" fontId="6" fillId="0" borderId="0" xfId="0" quotePrefix="1" applyNumberFormat="1" applyFont="1" applyAlignment="1">
      <alignment horizontal="center"/>
    </xf>
    <xf numFmtId="0" fontId="31" fillId="0" borderId="0" xfId="0" applyFont="1"/>
    <xf numFmtId="0" fontId="32" fillId="0" borderId="0" xfId="0" applyFont="1"/>
    <xf numFmtId="0" fontId="7" fillId="0" borderId="0" xfId="0" quotePrefix="1" applyNumberFormat="1" applyFont="1"/>
    <xf numFmtId="0" fontId="2" fillId="0" borderId="0" xfId="0" quotePrefix="1" applyNumberFormat="1" applyFont="1"/>
    <xf numFmtId="0" fontId="11" fillId="0" borderId="0" xfId="0" applyNumberFormat="1" applyFont="1"/>
    <xf numFmtId="0" fontId="2" fillId="0" borderId="0" xfId="0" applyNumberFormat="1" applyFont="1"/>
    <xf numFmtId="0" fontId="28" fillId="0" borderId="0" xfId="0" applyNumberFormat="1" applyFont="1" applyAlignment="1">
      <alignment horizontal="center"/>
    </xf>
    <xf numFmtId="0" fontId="34" fillId="0" borderId="0" xfId="0" applyFont="1"/>
    <xf numFmtId="2" fontId="8" fillId="0" borderId="0" xfId="0" quotePrefix="1" applyNumberFormat="1" applyFont="1" applyAlignment="1">
      <alignment horizontal="right"/>
    </xf>
    <xf numFmtId="2" fontId="8" fillId="0" borderId="0" xfId="0" quotePrefix="1" applyNumberFormat="1" applyFont="1"/>
    <xf numFmtId="164" fontId="0" fillId="0" borderId="0" xfId="0" applyNumberFormat="1"/>
    <xf numFmtId="0" fontId="0" fillId="0" borderId="0" xfId="0" applyNumberFormat="1" applyFont="1"/>
    <xf numFmtId="0" fontId="37" fillId="0" borderId="0" xfId="0" applyFont="1"/>
    <xf numFmtId="2" fontId="38" fillId="0" borderId="0" xfId="0" applyNumberFormat="1" applyFont="1"/>
    <xf numFmtId="0" fontId="0" fillId="0" borderId="0" xfId="0" applyAlignment="1"/>
    <xf numFmtId="0" fontId="8" fillId="0" borderId="0" xfId="0" applyFont="1" applyBorder="1"/>
    <xf numFmtId="0" fontId="5" fillId="0" borderId="0" xfId="0" applyFont="1" applyBorder="1"/>
    <xf numFmtId="0" fontId="6" fillId="0" borderId="0" xfId="0" applyFont="1" applyBorder="1"/>
    <xf numFmtId="2" fontId="6" fillId="0" borderId="0" xfId="0" applyNumberFormat="1" applyFont="1" applyBorder="1"/>
    <xf numFmtId="0" fontId="9" fillId="0" borderId="0" xfId="0" applyFont="1" applyBorder="1"/>
    <xf numFmtId="0" fontId="8" fillId="0" borderId="1" xfId="0" applyFont="1" applyBorder="1"/>
    <xf numFmtId="0" fontId="39" fillId="0" borderId="0" xfId="0" quotePrefix="1" applyNumberFormat="1" applyFont="1"/>
    <xf numFmtId="2" fontId="41" fillId="0" borderId="0" xfId="0" applyNumberFormat="1" applyFont="1"/>
    <xf numFmtId="0" fontId="41" fillId="0" borderId="0" xfId="0" applyFont="1"/>
    <xf numFmtId="2" fontId="43" fillId="0" borderId="0" xfId="0" applyNumberFormat="1" applyFont="1"/>
    <xf numFmtId="2" fontId="44" fillId="0" borderId="0" xfId="0" applyNumberFormat="1" applyFont="1"/>
    <xf numFmtId="2" fontId="0" fillId="0" borderId="0" xfId="0" quotePrefix="1" applyNumberFormat="1" applyFont="1"/>
    <xf numFmtId="0" fontId="10" fillId="0" borderId="0" xfId="0" quotePrefix="1" applyFont="1"/>
    <xf numFmtId="164" fontId="7" fillId="0" borderId="0" xfId="0" applyNumberFormat="1" applyFont="1"/>
    <xf numFmtId="0" fontId="15" fillId="0" borderId="0" xfId="0" quotePrefix="1" applyFont="1"/>
    <xf numFmtId="0" fontId="45" fillId="0" borderId="0" xfId="0" applyFont="1"/>
    <xf numFmtId="0" fontId="43" fillId="0" borderId="0" xfId="0" quotePrefix="1" applyFont="1"/>
    <xf numFmtId="0" fontId="0" fillId="0" borderId="0" xfId="0" applyAlignment="1">
      <alignment horizontal="right"/>
    </xf>
    <xf numFmtId="2" fontId="4" fillId="0" borderId="0" xfId="0" quotePrefix="1" applyNumberFormat="1" applyFont="1"/>
    <xf numFmtId="165" fontId="7" fillId="0" borderId="0" xfId="0" applyNumberFormat="1" applyFont="1"/>
    <xf numFmtId="2" fontId="4" fillId="0" borderId="0" xfId="0" applyNumberFormat="1" applyFont="1"/>
    <xf numFmtId="0" fontId="28" fillId="0" borderId="0" xfId="0" applyFont="1" applyBorder="1"/>
    <xf numFmtId="2" fontId="28" fillId="0" borderId="0" xfId="0" quotePrefix="1" applyNumberFormat="1" applyFont="1" applyAlignment="1">
      <alignment horizontal="center"/>
    </xf>
    <xf numFmtId="0" fontId="28" fillId="0" borderId="0" xfId="0" quotePrefix="1" applyFont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horizontal="center"/>
    </xf>
    <xf numFmtId="2" fontId="8" fillId="0" borderId="0" xfId="0" quotePrefix="1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2" fontId="28" fillId="0" borderId="0" xfId="0" applyNumberFormat="1" applyFont="1" applyBorder="1"/>
    <xf numFmtId="0" fontId="48" fillId="0" borderId="0" xfId="0" applyFont="1" applyBorder="1"/>
    <xf numFmtId="2" fontId="0" fillId="0" borderId="0" xfId="0" applyNumberFormat="1" applyBorder="1"/>
    <xf numFmtId="11" fontId="11" fillId="0" borderId="0" xfId="0" applyNumberFormat="1" applyFont="1" applyBorder="1"/>
    <xf numFmtId="0" fontId="0" fillId="0" borderId="2" xfId="0" applyBorder="1"/>
    <xf numFmtId="0" fontId="8" fillId="0" borderId="2" xfId="0" applyFont="1" applyBorder="1"/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1" xfId="0" applyBorder="1"/>
    <xf numFmtId="0" fontId="0" fillId="0" borderId="4" xfId="0" applyBorder="1"/>
    <xf numFmtId="2" fontId="0" fillId="0" borderId="4" xfId="0" applyNumberFormat="1" applyBorder="1"/>
    <xf numFmtId="0" fontId="28" fillId="0" borderId="4" xfId="0" applyFont="1" applyBorder="1" applyAlignment="1">
      <alignment horizontal="center"/>
    </xf>
    <xf numFmtId="0" fontId="28" fillId="0" borderId="5" xfId="0" applyFont="1" applyBorder="1"/>
    <xf numFmtId="0" fontId="0" fillId="0" borderId="6" xfId="0" applyBorder="1"/>
    <xf numFmtId="0" fontId="0" fillId="0" borderId="7" xfId="0" applyBorder="1"/>
    <xf numFmtId="2" fontId="23" fillId="0" borderId="7" xfId="0" applyNumberFormat="1" applyFont="1" applyBorder="1"/>
    <xf numFmtId="0" fontId="23" fillId="0" borderId="8" xfId="0" applyFont="1" applyBorder="1"/>
    <xf numFmtId="0" fontId="28" fillId="0" borderId="7" xfId="0" applyFont="1" applyBorder="1"/>
    <xf numFmtId="0" fontId="44" fillId="0" borderId="0" xfId="0" applyFont="1" applyBorder="1" applyAlignment="1">
      <alignment horizontal="center"/>
    </xf>
    <xf numFmtId="0" fontId="27" fillId="0" borderId="0" xfId="0" applyFont="1" applyBorder="1"/>
    <xf numFmtId="164" fontId="27" fillId="0" borderId="0" xfId="0" applyNumberFormat="1" applyFont="1" applyBorder="1" applyAlignment="1">
      <alignment horizontal="center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8" fillId="0" borderId="0" xfId="0" quotePrefix="1" applyNumberFormat="1" applyFont="1"/>
    <xf numFmtId="164" fontId="28" fillId="0" borderId="0" xfId="0" applyNumberFormat="1" applyFont="1"/>
    <xf numFmtId="164" fontId="7" fillId="0" borderId="0" xfId="0" quotePrefix="1" applyNumberFormat="1" applyFont="1"/>
    <xf numFmtId="166" fontId="28" fillId="0" borderId="0" xfId="0" applyNumberFormat="1" applyFont="1"/>
    <xf numFmtId="164" fontId="10" fillId="0" borderId="0" xfId="0" applyNumberFormat="1" applyFont="1"/>
    <xf numFmtId="166" fontId="13" fillId="0" borderId="0" xfId="0" applyNumberFormat="1" applyFont="1"/>
    <xf numFmtId="166" fontId="5" fillId="0" borderId="0" xfId="0" applyNumberFormat="1" applyFont="1"/>
    <xf numFmtId="0" fontId="0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  <xf numFmtId="164" fontId="5" fillId="0" borderId="0" xfId="0" applyNumberFormat="1" applyFont="1"/>
    <xf numFmtId="164" fontId="6" fillId="0" borderId="0" xfId="0" applyNumberFormat="1" applyFont="1"/>
    <xf numFmtId="164" fontId="13" fillId="0" borderId="0" xfId="0" applyNumberFormat="1" applyFont="1"/>
    <xf numFmtId="164" fontId="20" fillId="0" borderId="0" xfId="0" applyNumberFormat="1" applyFont="1"/>
    <xf numFmtId="164" fontId="6" fillId="0" borderId="0" xfId="0" quotePrefix="1" applyNumberFormat="1" applyFont="1"/>
    <xf numFmtId="0" fontId="51" fillId="0" borderId="0" xfId="0" quotePrefix="1" applyNumberFormat="1" applyFont="1"/>
    <xf numFmtId="0" fontId="4" fillId="0" borderId="0" xfId="0" quotePrefix="1" applyNumberFormat="1" applyFont="1"/>
    <xf numFmtId="0" fontId="23" fillId="0" borderId="9" xfId="0" applyFont="1" applyBorder="1"/>
    <xf numFmtId="0" fontId="23" fillId="0" borderId="1" xfId="0" applyFont="1" applyBorder="1"/>
    <xf numFmtId="0" fontId="28" fillId="0" borderId="1" xfId="0" applyFont="1" applyBorder="1"/>
    <xf numFmtId="0" fontId="21" fillId="0" borderId="0" xfId="0" applyFont="1"/>
    <xf numFmtId="0" fontId="6" fillId="0" borderId="0" xfId="0" quotePrefix="1" applyFont="1"/>
    <xf numFmtId="0" fontId="51" fillId="0" borderId="0" xfId="0" applyFont="1"/>
    <xf numFmtId="0" fontId="2" fillId="0" borderId="0" xfId="0" applyFont="1" applyBorder="1"/>
    <xf numFmtId="0" fontId="8" fillId="0" borderId="9" xfId="0" applyFont="1" applyBorder="1"/>
    <xf numFmtId="0" fontId="2" fillId="0" borderId="2" xfId="0" applyFont="1" applyBorder="1"/>
    <xf numFmtId="2" fontId="0" fillId="0" borderId="2" xfId="0" applyNumberFormat="1" applyBorder="1"/>
    <xf numFmtId="0" fontId="7" fillId="0" borderId="2" xfId="0" applyNumberFormat="1" applyFont="1" applyBorder="1"/>
    <xf numFmtId="2" fontId="0" fillId="0" borderId="3" xfId="0" applyNumberFormat="1" applyBorder="1"/>
    <xf numFmtId="11" fontId="0" fillId="0" borderId="0" xfId="0" applyNumberFormat="1" applyBorder="1"/>
    <xf numFmtId="0" fontId="7" fillId="0" borderId="0" xfId="0" applyNumberFormat="1" applyFont="1" applyBorder="1"/>
    <xf numFmtId="0" fontId="0" fillId="0" borderId="0" xfId="0" applyFont="1" applyBorder="1"/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2" fontId="27" fillId="0" borderId="0" xfId="0" applyNumberFormat="1" applyFont="1" applyBorder="1"/>
    <xf numFmtId="2" fontId="5" fillId="0" borderId="0" xfId="0" applyNumberFormat="1" applyFont="1" applyBorder="1"/>
    <xf numFmtId="2" fontId="5" fillId="0" borderId="4" xfId="0" applyNumberFormat="1" applyFont="1" applyBorder="1"/>
    <xf numFmtId="11" fontId="0" fillId="0" borderId="0" xfId="0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2" fontId="6" fillId="0" borderId="0" xfId="0" quotePrefix="1" applyNumberFormat="1" applyFont="1" applyBorder="1"/>
    <xf numFmtId="11" fontId="0" fillId="0" borderId="0" xfId="0" applyNumberFormat="1" applyFont="1" applyBorder="1" applyAlignment="1">
      <alignment horizontal="center"/>
    </xf>
    <xf numFmtId="11" fontId="0" fillId="0" borderId="0" xfId="0" quotePrefix="1" applyNumberFormat="1" applyBorder="1" applyAlignment="1">
      <alignment horizontal="center"/>
    </xf>
    <xf numFmtId="11" fontId="6" fillId="0" borderId="0" xfId="0" applyNumberFormat="1" applyFont="1" applyBorder="1"/>
    <xf numFmtId="0" fontId="0" fillId="0" borderId="10" xfId="0" applyBorder="1"/>
    <xf numFmtId="0" fontId="8" fillId="0" borderId="11" xfId="0" applyFont="1" applyBorder="1"/>
    <xf numFmtId="0" fontId="0" fillId="0" borderId="11" xfId="0" applyBorder="1"/>
    <xf numFmtId="2" fontId="5" fillId="0" borderId="11" xfId="0" applyNumberFormat="1" applyFont="1" applyBorder="1"/>
    <xf numFmtId="2" fontId="0" fillId="0" borderId="11" xfId="0" applyNumberFormat="1" applyBorder="1"/>
    <xf numFmtId="0" fontId="7" fillId="0" borderId="11" xfId="0" applyNumberFormat="1" applyFont="1" applyBorder="1"/>
    <xf numFmtId="2" fontId="5" fillId="0" borderId="12" xfId="0" applyNumberFormat="1" applyFont="1" applyBorder="1"/>
    <xf numFmtId="0" fontId="27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513"/>
  <sheetViews>
    <sheetView tabSelected="1" topLeftCell="A82" zoomScaleNormal="100" workbookViewId="0">
      <selection activeCell="D98" sqref="D98"/>
    </sheetView>
  </sheetViews>
  <sheetFormatPr defaultColWidth="11.42578125" defaultRowHeight="15"/>
  <cols>
    <col min="2" max="2" width="16.140625" customWidth="1"/>
    <col min="3" max="3" width="20.7109375" customWidth="1"/>
    <col min="4" max="4" width="9.140625" customWidth="1"/>
    <col min="5" max="5" width="9.7109375" customWidth="1"/>
    <col min="9" max="9" width="10.85546875" customWidth="1"/>
    <col min="10" max="10" width="10.7109375" customWidth="1"/>
  </cols>
  <sheetData>
    <row r="1" spans="1:2" ht="18.75">
      <c r="A1" s="47" t="s">
        <v>615</v>
      </c>
    </row>
    <row r="2" spans="1:2" ht="18.75">
      <c r="A2" s="47"/>
      <c r="B2" s="73" t="s">
        <v>658</v>
      </c>
    </row>
    <row r="3" spans="1:2" s="11" customFormat="1">
      <c r="B3" s="57"/>
    </row>
    <row r="4" spans="1:2">
      <c r="A4" s="3" t="s">
        <v>616</v>
      </c>
      <c r="B4" s="57"/>
    </row>
    <row r="5" spans="1:2">
      <c r="A5" s="3" t="s">
        <v>646</v>
      </c>
      <c r="B5" s="57"/>
    </row>
    <row r="6" spans="1:2">
      <c r="A6" s="3" t="s">
        <v>642</v>
      </c>
      <c r="B6" s="57"/>
    </row>
    <row r="7" spans="1:2" s="11" customFormat="1">
      <c r="A7" s="3" t="s">
        <v>644</v>
      </c>
      <c r="B7" s="57"/>
    </row>
    <row r="8" spans="1:2" s="11" customFormat="1">
      <c r="A8" s="3" t="s">
        <v>643</v>
      </c>
      <c r="B8" s="57"/>
    </row>
    <row r="9" spans="1:2" s="11" customFormat="1">
      <c r="A9" s="3" t="s">
        <v>645</v>
      </c>
      <c r="B9" s="57"/>
    </row>
    <row r="10" spans="1:2" s="11" customFormat="1">
      <c r="A10" s="3" t="s">
        <v>808</v>
      </c>
      <c r="B10" s="57"/>
    </row>
    <row r="11" spans="1:2" s="11" customFormat="1">
      <c r="A11" s="3" t="s">
        <v>648</v>
      </c>
      <c r="B11" s="57"/>
    </row>
    <row r="12" spans="1:2" s="11" customFormat="1">
      <c r="A12" s="3" t="s">
        <v>706</v>
      </c>
      <c r="B12" s="57"/>
    </row>
    <row r="13" spans="1:2" s="11" customFormat="1">
      <c r="A13" s="3" t="s">
        <v>707</v>
      </c>
      <c r="B13" s="57"/>
    </row>
    <row r="14" spans="1:2" s="11" customFormat="1">
      <c r="A14" s="3"/>
      <c r="B14" s="57"/>
    </row>
    <row r="15" spans="1:2" s="11" customFormat="1">
      <c r="A15" s="3"/>
      <c r="B15" s="57"/>
    </row>
    <row r="16" spans="1:2" s="11" customFormat="1">
      <c r="A16" s="3"/>
      <c r="B16" s="57"/>
    </row>
    <row r="17" spans="1:51" s="11" customFormat="1" ht="18.75">
      <c r="A17" s="159" t="s">
        <v>604</v>
      </c>
    </row>
    <row r="18" spans="1:51" s="11" customFormat="1">
      <c r="A18" t="s">
        <v>647</v>
      </c>
      <c r="B18"/>
    </row>
    <row r="19" spans="1:51" s="11" customFormat="1">
      <c r="A19" t="s">
        <v>605</v>
      </c>
      <c r="J19" s="66" t="s">
        <v>287</v>
      </c>
      <c r="K19" s="44"/>
      <c r="L19" s="44"/>
      <c r="O19" s="56" t="s">
        <v>629</v>
      </c>
      <c r="AJ19" s="56" t="s">
        <v>809</v>
      </c>
    </row>
    <row r="20" spans="1:51" s="11" customFormat="1">
      <c r="A20" t="s">
        <v>396</v>
      </c>
      <c r="J20" s="66" t="s">
        <v>286</v>
      </c>
      <c r="K20" s="44"/>
      <c r="L20" s="44"/>
      <c r="O20" s="16" t="s">
        <v>640</v>
      </c>
      <c r="P20" s="7"/>
      <c r="Q20" s="7"/>
      <c r="R20" s="7"/>
      <c r="S20" s="16" t="s">
        <v>810</v>
      </c>
      <c r="T20" s="7"/>
      <c r="U20" s="7"/>
      <c r="V20" s="7"/>
      <c r="W20" s="16" t="s">
        <v>638</v>
      </c>
      <c r="X20"/>
      <c r="Y20"/>
      <c r="AA20" s="16" t="s">
        <v>639</v>
      </c>
      <c r="AB20"/>
      <c r="AC20"/>
      <c r="AD20"/>
      <c r="AE20" s="70" t="s">
        <v>641</v>
      </c>
      <c r="AF20"/>
      <c r="AG20"/>
      <c r="AH20"/>
      <c r="AI20"/>
      <c r="AJ20" s="7"/>
      <c r="AK20" s="16" t="s">
        <v>805</v>
      </c>
      <c r="AL20" s="7"/>
      <c r="AM20" s="7"/>
    </row>
    <row r="21" spans="1:51" s="11" customFormat="1">
      <c r="A21" t="s">
        <v>285</v>
      </c>
      <c r="J21" s="44"/>
      <c r="K21" s="44"/>
      <c r="L21" s="66" t="s">
        <v>287</v>
      </c>
      <c r="O21" s="16" t="s">
        <v>803</v>
      </c>
      <c r="P21" s="36"/>
      <c r="Q21" s="36"/>
      <c r="R21" s="36"/>
      <c r="S21" s="16" t="s">
        <v>811</v>
      </c>
      <c r="T21" s="7"/>
      <c r="U21" s="7"/>
      <c r="V21" s="7"/>
      <c r="W21" s="16" t="s">
        <v>298</v>
      </c>
      <c r="X21" s="7"/>
      <c r="Y21" s="7"/>
      <c r="AA21" s="16" t="s">
        <v>813</v>
      </c>
      <c r="AB21" s="7"/>
      <c r="AC21" s="7"/>
      <c r="AD21"/>
      <c r="AE21" s="70" t="s">
        <v>807</v>
      </c>
      <c r="AF21"/>
      <c r="AG21"/>
      <c r="AH21"/>
      <c r="AI21"/>
      <c r="AK21" s="16" t="s">
        <v>804</v>
      </c>
      <c r="AL21" s="7"/>
      <c r="AM21" s="7"/>
      <c r="AR21"/>
      <c r="AS21"/>
      <c r="AT21"/>
      <c r="AU21"/>
      <c r="AV21"/>
      <c r="AW21"/>
      <c r="AX21"/>
      <c r="AY21"/>
    </row>
    <row r="22" spans="1:51">
      <c r="J22" s="44"/>
      <c r="K22" s="44"/>
      <c r="L22" s="66" t="s">
        <v>288</v>
      </c>
      <c r="O22" s="72" t="s">
        <v>649</v>
      </c>
      <c r="P22" s="69" t="s">
        <v>611</v>
      </c>
      <c r="Q22" s="60">
        <v>-20</v>
      </c>
      <c r="R22" s="60"/>
      <c r="S22" s="64">
        <v>0.7</v>
      </c>
      <c r="T22" s="68" t="s">
        <v>812</v>
      </c>
      <c r="U22" s="61">
        <v>0.3</v>
      </c>
      <c r="V22" s="68"/>
      <c r="W22" s="61">
        <v>0.05</v>
      </c>
      <c r="X22" s="68" t="s">
        <v>628</v>
      </c>
      <c r="Y22" s="61">
        <v>0.2</v>
      </c>
      <c r="AA22" s="35" t="s">
        <v>630</v>
      </c>
      <c r="AB22" s="67" t="s">
        <v>610</v>
      </c>
      <c r="AC22" s="61" t="s">
        <v>631</v>
      </c>
      <c r="AE22" s="67" t="s">
        <v>633</v>
      </c>
      <c r="AF22" s="61" t="s">
        <v>634</v>
      </c>
      <c r="AG22" s="61" t="s">
        <v>635</v>
      </c>
      <c r="AH22" s="61" t="s">
        <v>636</v>
      </c>
      <c r="AI22" s="61" t="s">
        <v>637</v>
      </c>
      <c r="AK22" s="64">
        <v>0.85</v>
      </c>
      <c r="AL22" s="68" t="s">
        <v>806</v>
      </c>
      <c r="AM22" s="61">
        <v>0.55000000000000004</v>
      </c>
      <c r="AU22" s="5"/>
    </row>
    <row r="23" spans="1:51" ht="18.75">
      <c r="A23" s="43" t="s">
        <v>603</v>
      </c>
      <c r="B23" s="44"/>
      <c r="C23" s="44"/>
      <c r="D23" s="45" t="s">
        <v>801</v>
      </c>
      <c r="E23" s="44"/>
      <c r="F23" s="44"/>
      <c r="G23" s="44"/>
      <c r="H23" s="44"/>
      <c r="J23" s="45">
        <f ca="1">Tabelle2!Z100</f>
        <v>0.13936028990214136</v>
      </c>
      <c r="K23" s="45" t="s">
        <v>497</v>
      </c>
      <c r="L23" s="45">
        <f ca="1">Tabelle2!AB100</f>
        <v>0.44922833599424689</v>
      </c>
      <c r="M23" s="45" t="s">
        <v>497</v>
      </c>
      <c r="O23" s="111" t="s">
        <v>295</v>
      </c>
      <c r="P23" s="110" t="s">
        <v>293</v>
      </c>
      <c r="Q23" s="110" t="s">
        <v>296</v>
      </c>
      <c r="R23" s="62"/>
      <c r="S23" s="65" t="s">
        <v>292</v>
      </c>
      <c r="T23" s="62" t="s">
        <v>293</v>
      </c>
      <c r="U23" s="110" t="s">
        <v>289</v>
      </c>
      <c r="V23" s="62"/>
      <c r="W23" s="111" t="s">
        <v>304</v>
      </c>
      <c r="X23" s="110" t="s">
        <v>293</v>
      </c>
      <c r="Y23" s="111" t="s">
        <v>306</v>
      </c>
      <c r="AA23" s="56" t="s">
        <v>302</v>
      </c>
      <c r="AB23" s="110" t="s">
        <v>293</v>
      </c>
      <c r="AC23" s="111" t="s">
        <v>299</v>
      </c>
      <c r="AE23" s="110" t="s">
        <v>293</v>
      </c>
      <c r="AF23" s="65"/>
      <c r="AG23" s="65"/>
      <c r="AH23" s="65"/>
      <c r="AI23" s="65"/>
      <c r="AK23" s="65"/>
      <c r="AL23" s="110" t="s">
        <v>293</v>
      </c>
      <c r="AM23" s="62"/>
      <c r="AN23" s="44"/>
      <c r="AO23" s="44"/>
      <c r="AP23" s="44"/>
      <c r="AQ23" s="44"/>
      <c r="AR23" s="52"/>
      <c r="AT23" s="52"/>
      <c r="AU23" s="44"/>
      <c r="AV23" s="44"/>
      <c r="AW23" s="44"/>
      <c r="AX23" s="44"/>
      <c r="AY23" s="44"/>
    </row>
    <row r="24" spans="1:51" ht="18.75">
      <c r="A24" s="66" t="s">
        <v>470</v>
      </c>
      <c r="D24" s="45" t="s">
        <v>802</v>
      </c>
      <c r="E24" s="44"/>
      <c r="F24" s="46"/>
      <c r="G24" s="44"/>
      <c r="H24" s="44"/>
      <c r="J24" s="45">
        <f ca="1">Tabelle2!Z101</f>
        <v>0.6319746081480776</v>
      </c>
      <c r="K24" s="45" t="s">
        <v>497</v>
      </c>
      <c r="L24" s="45">
        <f ca="1">Tabelle2!AB101</f>
        <v>2.0371721514667631</v>
      </c>
      <c r="M24" s="45" t="s">
        <v>497</v>
      </c>
      <c r="O24" s="111" t="s">
        <v>301</v>
      </c>
      <c r="P24" s="110" t="s">
        <v>294</v>
      </c>
      <c r="Q24" s="110" t="s">
        <v>297</v>
      </c>
      <c r="R24" s="62"/>
      <c r="S24" s="65" t="s">
        <v>291</v>
      </c>
      <c r="T24" s="110" t="s">
        <v>294</v>
      </c>
      <c r="U24" s="110" t="s">
        <v>290</v>
      </c>
      <c r="V24" s="62"/>
      <c r="W24" s="111" t="s">
        <v>305</v>
      </c>
      <c r="X24" s="110" t="s">
        <v>294</v>
      </c>
      <c r="Y24" s="111" t="s">
        <v>307</v>
      </c>
      <c r="AA24" s="56" t="s">
        <v>303</v>
      </c>
      <c r="AB24" s="110" t="s">
        <v>294</v>
      </c>
      <c r="AC24" s="111" t="s">
        <v>300</v>
      </c>
      <c r="AE24" s="110" t="s">
        <v>294</v>
      </c>
      <c r="AF24" s="65"/>
      <c r="AG24" s="65"/>
      <c r="AH24" s="65"/>
      <c r="AI24" s="65"/>
      <c r="AK24" s="65"/>
      <c r="AL24" s="110" t="s">
        <v>294</v>
      </c>
      <c r="AM24" s="62"/>
      <c r="AN24" s="52"/>
      <c r="AO24" s="44"/>
      <c r="AP24" s="44"/>
      <c r="AQ24" s="44"/>
      <c r="AR24" s="52"/>
      <c r="AT24" s="52"/>
      <c r="AU24" s="44"/>
      <c r="AV24" s="44"/>
      <c r="AW24" s="44"/>
      <c r="AX24" s="44"/>
      <c r="AY24" s="44"/>
    </row>
    <row r="25" spans="1:51">
      <c r="A25" t="s">
        <v>606</v>
      </c>
    </row>
    <row r="26" spans="1:51" ht="15.75" thickBot="1">
      <c r="A26" t="s">
        <v>607</v>
      </c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</row>
    <row r="27" spans="1:51" ht="14.45" customHeight="1">
      <c r="M27" s="112"/>
      <c r="N27" s="156" t="s">
        <v>389</v>
      </c>
      <c r="O27" s="121"/>
      <c r="P27" s="121"/>
      <c r="Q27" s="122" t="s">
        <v>353</v>
      </c>
      <c r="R27" s="121"/>
      <c r="S27" s="121"/>
      <c r="T27" s="123"/>
      <c r="U27" s="121"/>
      <c r="V27" s="121"/>
      <c r="W27" s="121"/>
      <c r="X27" s="121"/>
      <c r="Y27" s="121"/>
      <c r="Z27" s="121"/>
      <c r="AA27" s="121"/>
      <c r="AB27" s="124"/>
    </row>
    <row r="28" spans="1:51" ht="14.45" customHeight="1">
      <c r="B28" s="41"/>
      <c r="E28" s="42"/>
      <c r="F28" s="41"/>
      <c r="G28" s="41"/>
      <c r="M28" s="112"/>
      <c r="N28" s="157" t="s">
        <v>388</v>
      </c>
      <c r="O28" s="112"/>
      <c r="P28" s="112"/>
      <c r="Q28" s="88" t="s">
        <v>308</v>
      </c>
      <c r="R28" s="89"/>
      <c r="S28" s="89"/>
      <c r="T28" s="112"/>
      <c r="U28" s="112"/>
      <c r="V28" s="112"/>
      <c r="W28" s="112"/>
      <c r="X28" s="89"/>
      <c r="Y28" s="112"/>
      <c r="Z28" s="112"/>
      <c r="AA28" s="112"/>
      <c r="AB28" s="126"/>
    </row>
    <row r="29" spans="1:51">
      <c r="A29" s="3"/>
      <c r="K29" s="59"/>
      <c r="M29" s="112"/>
      <c r="N29" s="125"/>
      <c r="O29" s="112"/>
      <c r="P29" s="112"/>
      <c r="Q29" s="113" t="s">
        <v>309</v>
      </c>
      <c r="R29" s="113" t="s">
        <v>310</v>
      </c>
      <c r="S29" s="113" t="s">
        <v>311</v>
      </c>
      <c r="T29" s="135" t="s">
        <v>312</v>
      </c>
      <c r="U29" s="135" t="s">
        <v>313</v>
      </c>
      <c r="V29" s="135" t="s">
        <v>314</v>
      </c>
      <c r="W29" s="135" t="s">
        <v>319</v>
      </c>
      <c r="X29" s="135" t="s">
        <v>315</v>
      </c>
      <c r="Y29" s="135" t="s">
        <v>316</v>
      </c>
      <c r="Z29" s="112"/>
      <c r="AA29" s="112"/>
      <c r="AB29" s="126"/>
    </row>
    <row r="30" spans="1:51">
      <c r="A30" s="3" t="s">
        <v>457</v>
      </c>
      <c r="B30" s="8"/>
      <c r="K30" s="59"/>
      <c r="M30" s="112"/>
      <c r="N30" s="93" t="s">
        <v>356</v>
      </c>
      <c r="O30" s="112"/>
      <c r="P30" s="112"/>
      <c r="Q30" s="114">
        <v>427.62</v>
      </c>
      <c r="R30" s="115">
        <v>460.82</v>
      </c>
      <c r="S30" s="115">
        <v>446.6</v>
      </c>
      <c r="T30" s="135">
        <v>424.52</v>
      </c>
      <c r="U30" s="135">
        <v>457.4</v>
      </c>
      <c r="V30" s="135">
        <v>443.36</v>
      </c>
      <c r="W30" s="135">
        <v>413.57</v>
      </c>
      <c r="X30" s="135">
        <v>445.13</v>
      </c>
      <c r="Y30" s="135">
        <v>431.96</v>
      </c>
      <c r="Z30" s="112"/>
      <c r="AA30" s="112"/>
      <c r="AB30" s="126"/>
    </row>
    <row r="31" spans="1:51">
      <c r="B31" t="s">
        <v>471</v>
      </c>
      <c r="C31" s="3"/>
      <c r="M31" s="112"/>
      <c r="N31" s="93" t="s">
        <v>317</v>
      </c>
      <c r="O31" s="112"/>
      <c r="P31" s="112"/>
      <c r="Q31" s="115">
        <v>362.24</v>
      </c>
      <c r="R31" s="113">
        <v>439.99</v>
      </c>
      <c r="S31" s="115">
        <v>446.6</v>
      </c>
      <c r="T31" s="135">
        <v>360.53</v>
      </c>
      <c r="U31" s="135">
        <v>437.17</v>
      </c>
      <c r="V31" s="135">
        <v>443.36</v>
      </c>
      <c r="W31" s="135">
        <v>354.54</v>
      </c>
      <c r="X31" s="135">
        <v>426.94</v>
      </c>
      <c r="Y31" s="135">
        <v>431.96</v>
      </c>
      <c r="Z31" s="112"/>
      <c r="AA31" s="112"/>
      <c r="AB31" s="126"/>
    </row>
    <row r="32" spans="1:51">
      <c r="A32" t="s">
        <v>478</v>
      </c>
      <c r="F32" s="22">
        <v>1367</v>
      </c>
      <c r="G32" t="s">
        <v>479</v>
      </c>
      <c r="M32" s="112"/>
      <c r="N32" s="93" t="s">
        <v>357</v>
      </c>
      <c r="O32" s="112"/>
      <c r="P32" s="112"/>
      <c r="Q32" s="113">
        <v>445.51</v>
      </c>
      <c r="R32" s="113">
        <v>440.09</v>
      </c>
      <c r="S32" s="113">
        <v>422.95</v>
      </c>
      <c r="T32" s="135">
        <v>442.01</v>
      </c>
      <c r="U32" s="135">
        <v>436.64</v>
      </c>
      <c r="V32" s="135">
        <v>419.79</v>
      </c>
      <c r="W32" s="135">
        <v>429.55</v>
      </c>
      <c r="X32" s="135">
        <v>424.36</v>
      </c>
      <c r="Y32" s="135">
        <v>408.6</v>
      </c>
      <c r="Z32" s="112"/>
      <c r="AA32" s="112"/>
      <c r="AB32" s="126"/>
    </row>
    <row r="33" spans="1:31">
      <c r="A33" t="s">
        <v>598</v>
      </c>
      <c r="F33" s="16">
        <v>0.3</v>
      </c>
      <c r="H33" t="s">
        <v>600</v>
      </c>
      <c r="M33" s="112"/>
      <c r="N33" s="93" t="s">
        <v>318</v>
      </c>
      <c r="O33" s="112"/>
      <c r="P33" s="112"/>
      <c r="Q33" s="113">
        <v>390.27</v>
      </c>
      <c r="R33" s="115">
        <v>422.49</v>
      </c>
      <c r="S33" s="113">
        <v>422.95</v>
      </c>
      <c r="T33" s="135">
        <v>387.75</v>
      </c>
      <c r="U33" s="135">
        <v>419.53</v>
      </c>
      <c r="V33" s="135">
        <v>419.79</v>
      </c>
      <c r="W33" s="135">
        <v>378.77</v>
      </c>
      <c r="X33" s="135">
        <v>408.79</v>
      </c>
      <c r="Y33" s="135">
        <v>408.6</v>
      </c>
      <c r="Z33" s="112"/>
      <c r="AA33" s="112"/>
      <c r="AB33" s="127"/>
      <c r="AC33" s="2"/>
    </row>
    <row r="34" spans="1:31">
      <c r="A34" t="s">
        <v>599</v>
      </c>
      <c r="F34" s="16">
        <v>0.2</v>
      </c>
      <c r="H34" t="s">
        <v>601</v>
      </c>
      <c r="J34" t="s">
        <v>482</v>
      </c>
      <c r="M34" s="112"/>
      <c r="N34" s="125"/>
      <c r="O34" s="112"/>
      <c r="P34" s="112"/>
      <c r="Q34" s="112" t="s">
        <v>335</v>
      </c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27"/>
      <c r="AC34" s="2"/>
    </row>
    <row r="35" spans="1:31">
      <c r="A35" t="s">
        <v>651</v>
      </c>
      <c r="F35" s="16">
        <v>0.25</v>
      </c>
      <c r="H35" t="s">
        <v>601</v>
      </c>
      <c r="M35" s="112"/>
      <c r="N35" s="125"/>
      <c r="O35" s="112"/>
      <c r="P35" s="112"/>
      <c r="Q35" s="112" t="s">
        <v>337</v>
      </c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27"/>
      <c r="AC35" s="2"/>
    </row>
    <row r="36" spans="1:31">
      <c r="A36" t="s">
        <v>627</v>
      </c>
      <c r="F36" s="16">
        <v>-5</v>
      </c>
      <c r="G36" t="s">
        <v>497</v>
      </c>
      <c r="H36" t="s">
        <v>529</v>
      </c>
      <c r="J36" t="s">
        <v>483</v>
      </c>
      <c r="L36" s="23">
        <v>5.7000000000000001E-8</v>
      </c>
      <c r="M36" s="112"/>
      <c r="N36" s="158" t="s">
        <v>390</v>
      </c>
      <c r="O36" s="112"/>
      <c r="P36" s="112"/>
      <c r="Q36" s="112" t="s">
        <v>336</v>
      </c>
      <c r="R36" s="112"/>
      <c r="S36" s="112"/>
      <c r="T36" s="112"/>
      <c r="U36" s="112"/>
      <c r="V36" s="109"/>
      <c r="W36" s="112"/>
      <c r="X36" s="112"/>
      <c r="Y36" s="112"/>
      <c r="Z36" s="112"/>
      <c r="AA36" s="116"/>
      <c r="AB36" s="128"/>
      <c r="AC36" s="65"/>
      <c r="AD36" s="65"/>
      <c r="AE36" s="65"/>
    </row>
    <row r="37" spans="1:31" ht="18.75">
      <c r="A37" t="s">
        <v>650</v>
      </c>
      <c r="F37" s="16">
        <v>-5</v>
      </c>
      <c r="G37" t="s">
        <v>497</v>
      </c>
      <c r="H37" t="s">
        <v>529</v>
      </c>
      <c r="M37" s="120"/>
      <c r="N37" s="158" t="s">
        <v>391</v>
      </c>
      <c r="O37" s="112"/>
      <c r="P37" s="112"/>
      <c r="Q37" s="112" t="s">
        <v>338</v>
      </c>
      <c r="R37" s="112"/>
      <c r="S37" s="112" t="s">
        <v>339</v>
      </c>
      <c r="T37" s="112"/>
      <c r="U37" s="112"/>
      <c r="V37" s="117">
        <f>Q30-Q31</f>
        <v>65.38</v>
      </c>
      <c r="W37" s="112" t="s">
        <v>355</v>
      </c>
      <c r="X37" s="112"/>
      <c r="Y37" s="118"/>
      <c r="Z37" s="112"/>
      <c r="AA37" s="116"/>
      <c r="AB37" s="128"/>
      <c r="AC37" s="65"/>
      <c r="AD37" s="65"/>
      <c r="AE37" s="65"/>
    </row>
    <row r="38" spans="1:31" ht="17.25">
      <c r="A38" t="s">
        <v>461</v>
      </c>
      <c r="F38" s="16">
        <v>-55</v>
      </c>
      <c r="G38" t="s">
        <v>497</v>
      </c>
      <c r="H38" t="s">
        <v>530</v>
      </c>
      <c r="M38" s="112"/>
      <c r="N38" s="158" t="s">
        <v>392</v>
      </c>
      <c r="O38" s="112"/>
      <c r="P38" s="112"/>
      <c r="Q38" s="112"/>
      <c r="R38" s="112"/>
      <c r="S38" s="112" t="s">
        <v>340</v>
      </c>
      <c r="T38" s="112"/>
      <c r="U38" s="112"/>
      <c r="V38" s="117">
        <f>R30-R31</f>
        <v>20.829999999999984</v>
      </c>
      <c r="W38" s="112" t="s">
        <v>355</v>
      </c>
      <c r="X38" s="117"/>
      <c r="Y38" s="112"/>
      <c r="Z38" s="112"/>
      <c r="AA38" s="112"/>
      <c r="AB38" s="126"/>
    </row>
    <row r="39" spans="1:31" ht="17.25">
      <c r="A39" t="s">
        <v>655</v>
      </c>
      <c r="F39" s="22">
        <v>0.01</v>
      </c>
      <c r="H39" t="s">
        <v>462</v>
      </c>
      <c r="M39" s="112"/>
      <c r="N39" s="158" t="s">
        <v>393</v>
      </c>
      <c r="O39" s="112"/>
      <c r="P39" s="112"/>
      <c r="Q39" s="112"/>
      <c r="R39" s="112"/>
      <c r="S39" s="112" t="s">
        <v>341</v>
      </c>
      <c r="T39" s="112"/>
      <c r="U39" s="112"/>
      <c r="V39" s="117">
        <f>Q32-Q33</f>
        <v>55.240000000000009</v>
      </c>
      <c r="W39" s="112" t="s">
        <v>355</v>
      </c>
      <c r="X39" s="112"/>
      <c r="Y39" s="112"/>
      <c r="Z39" s="112"/>
      <c r="AA39" s="112"/>
      <c r="AB39" s="126"/>
    </row>
    <row r="40" spans="1:31" ht="17.25">
      <c r="A40" t="s">
        <v>656</v>
      </c>
      <c r="F40" s="22">
        <v>0.05</v>
      </c>
      <c r="H40" t="s">
        <v>463</v>
      </c>
      <c r="M40" s="112"/>
      <c r="N40" s="158" t="s">
        <v>394</v>
      </c>
      <c r="O40" s="112"/>
      <c r="P40" s="112"/>
      <c r="Q40" s="112"/>
      <c r="R40" s="112"/>
      <c r="S40" s="112" t="s">
        <v>342</v>
      </c>
      <c r="T40" s="112"/>
      <c r="U40" s="112"/>
      <c r="V40" s="117">
        <f>R32-R33</f>
        <v>17.599999999999966</v>
      </c>
      <c r="W40" s="112" t="s">
        <v>355</v>
      </c>
      <c r="X40" s="117"/>
      <c r="Y40" s="112"/>
      <c r="Z40" s="112"/>
      <c r="AA40" s="112"/>
      <c r="AB40" s="126"/>
    </row>
    <row r="41" spans="1:31">
      <c r="A41" t="s">
        <v>800</v>
      </c>
      <c r="F41" s="14">
        <v>0.2</v>
      </c>
      <c r="H41" t="s">
        <v>385</v>
      </c>
      <c r="M41" s="112"/>
      <c r="N41" s="158" t="s">
        <v>395</v>
      </c>
      <c r="O41" s="112"/>
      <c r="P41" s="112"/>
      <c r="Q41" s="112"/>
      <c r="R41" s="112"/>
      <c r="S41" s="88" t="s">
        <v>343</v>
      </c>
      <c r="T41" s="112"/>
      <c r="U41" s="112"/>
      <c r="V41" s="112"/>
      <c r="W41" s="112"/>
      <c r="X41" s="112"/>
      <c r="Y41" s="112"/>
      <c r="Z41" s="112"/>
      <c r="AA41" s="112"/>
      <c r="AB41" s="126"/>
    </row>
    <row r="42" spans="1:31">
      <c r="A42" t="s">
        <v>840</v>
      </c>
      <c r="F42" s="16">
        <v>0.02</v>
      </c>
      <c r="H42" t="s">
        <v>841</v>
      </c>
      <c r="M42" s="112"/>
      <c r="N42" s="125"/>
      <c r="O42" s="112"/>
      <c r="P42" s="112"/>
      <c r="Q42" s="90"/>
      <c r="R42" s="112"/>
      <c r="S42" s="112"/>
      <c r="T42" s="112"/>
      <c r="U42" s="112"/>
      <c r="V42" s="119"/>
      <c r="W42" s="112"/>
      <c r="X42" s="112"/>
      <c r="Y42" s="112"/>
      <c r="Z42" s="112"/>
      <c r="AA42" s="112"/>
      <c r="AB42" s="126"/>
    </row>
    <row r="43" spans="1:31">
      <c r="A43" t="s">
        <v>572</v>
      </c>
      <c r="F43" s="16">
        <v>0.7</v>
      </c>
      <c r="H43" t="s">
        <v>534</v>
      </c>
      <c r="M43" s="112"/>
      <c r="N43" s="125"/>
      <c r="O43" s="112"/>
      <c r="P43" s="112"/>
      <c r="Q43" s="112" t="s">
        <v>345</v>
      </c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26"/>
    </row>
    <row r="44" spans="1:31">
      <c r="A44" t="s">
        <v>734</v>
      </c>
      <c r="F44" s="16">
        <v>0.5</v>
      </c>
      <c r="H44" t="s">
        <v>715</v>
      </c>
      <c r="M44" s="112"/>
      <c r="N44" s="125"/>
      <c r="O44" s="112"/>
      <c r="P44" s="112"/>
      <c r="Q44" s="88" t="s">
        <v>347</v>
      </c>
      <c r="R44" s="117">
        <f>Q30-Q31</f>
        <v>65.38</v>
      </c>
      <c r="S44" s="136" t="s">
        <v>346</v>
      </c>
      <c r="T44" s="136"/>
      <c r="U44" s="136"/>
      <c r="V44" s="137">
        <f ca="1">Tabelle2!C109</f>
        <v>4.1834400000000008E-2</v>
      </c>
      <c r="W44" s="138" t="s">
        <v>473</v>
      </c>
      <c r="X44" s="138"/>
      <c r="Y44" s="138"/>
      <c r="Z44" s="139">
        <f ca="1">Tabelle2!F87</f>
        <v>0.3</v>
      </c>
      <c r="AA44" s="117">
        <f>R44*V44*Z44</f>
        <v>0.82053992160000011</v>
      </c>
      <c r="AB44" s="126"/>
    </row>
    <row r="45" spans="1:31">
      <c r="A45" t="s">
        <v>818</v>
      </c>
      <c r="F45" s="14">
        <f>1-$F$44-$F$46</f>
        <v>0.49</v>
      </c>
      <c r="H45" s="5" t="s">
        <v>472</v>
      </c>
      <c r="M45" s="112"/>
      <c r="N45" s="125"/>
      <c r="O45" s="112"/>
      <c r="P45" s="112"/>
      <c r="Q45" s="88" t="s">
        <v>348</v>
      </c>
      <c r="R45" s="117">
        <f>R30-R31</f>
        <v>20.829999999999984</v>
      </c>
      <c r="S45" s="136" t="s">
        <v>346</v>
      </c>
      <c r="T45" s="136"/>
      <c r="U45" s="136"/>
      <c r="V45" s="137">
        <f ca="1">Tabelle2!C109</f>
        <v>4.1834400000000008E-2</v>
      </c>
      <c r="W45" s="138" t="s">
        <v>474</v>
      </c>
      <c r="X45" s="138"/>
      <c r="Y45" s="138"/>
      <c r="Z45" s="139">
        <f ca="1">Tabelle2!F88</f>
        <v>0.2</v>
      </c>
      <c r="AA45" s="117">
        <f>R45*V45*Z45</f>
        <v>0.17428211039999991</v>
      </c>
      <c r="AB45" s="126"/>
    </row>
    <row r="46" spans="1:31">
      <c r="A46" t="s">
        <v>459</v>
      </c>
      <c r="F46" s="16">
        <v>0.01</v>
      </c>
      <c r="M46" s="112"/>
      <c r="N46" s="125"/>
      <c r="O46" s="112"/>
      <c r="P46" s="112"/>
      <c r="Q46" s="88" t="s">
        <v>349</v>
      </c>
      <c r="R46" s="117">
        <f>Q32-Q33</f>
        <v>55.240000000000009</v>
      </c>
      <c r="S46" s="136" t="s">
        <v>346</v>
      </c>
      <c r="T46" s="136"/>
      <c r="U46" s="136"/>
      <c r="V46" s="137">
        <f ca="1">Tabelle2!C110</f>
        <v>3.5359962817930232E-2</v>
      </c>
      <c r="W46" s="138" t="s">
        <v>473</v>
      </c>
      <c r="X46" s="138"/>
      <c r="Y46" s="138"/>
      <c r="Z46" s="139">
        <f ca="1">Tabelle2!F87</f>
        <v>0.3</v>
      </c>
      <c r="AA46" s="117">
        <f>R46*V46*Z46</f>
        <v>0.58598530381873981</v>
      </c>
      <c r="AB46" s="126"/>
    </row>
    <row r="47" spans="1:31">
      <c r="A47" t="s">
        <v>460</v>
      </c>
      <c r="F47" s="16">
        <f>0.05</f>
        <v>0.05</v>
      </c>
      <c r="H47" t="s">
        <v>614</v>
      </c>
      <c r="M47" s="112"/>
      <c r="N47" s="125"/>
      <c r="O47" s="112"/>
      <c r="P47" s="112"/>
      <c r="Q47" s="88" t="s">
        <v>350</v>
      </c>
      <c r="R47" s="117">
        <f>R32-R33</f>
        <v>17.599999999999966</v>
      </c>
      <c r="S47" s="136" t="s">
        <v>346</v>
      </c>
      <c r="T47" s="136"/>
      <c r="U47" s="136"/>
      <c r="V47" s="137">
        <f ca="1">Tabelle2!C110</f>
        <v>3.5359962817930232E-2</v>
      </c>
      <c r="W47" s="138" t="s">
        <v>474</v>
      </c>
      <c r="X47" s="138"/>
      <c r="Y47" s="138"/>
      <c r="Z47" s="139">
        <f ca="1">Tabelle2!F88</f>
        <v>0.2</v>
      </c>
      <c r="AA47" s="117">
        <f>R47*V47*Z47</f>
        <v>0.12446706911911419</v>
      </c>
      <c r="AB47" s="126"/>
    </row>
    <row r="48" spans="1:31" ht="17.25">
      <c r="B48" t="s">
        <v>566</v>
      </c>
      <c r="M48" s="112"/>
      <c r="N48" s="125"/>
      <c r="O48" s="112"/>
      <c r="P48" s="112"/>
      <c r="Q48" s="109" t="s">
        <v>351</v>
      </c>
      <c r="R48" s="112"/>
      <c r="S48" s="112"/>
      <c r="T48" s="112"/>
      <c r="U48" s="112"/>
      <c r="V48" s="112"/>
      <c r="W48" s="112"/>
      <c r="X48" s="112"/>
      <c r="Y48" s="112"/>
      <c r="Z48" s="112"/>
      <c r="AA48" s="117">
        <f>SUM(AA44:AA47)</f>
        <v>1.7052744049378541</v>
      </c>
      <c r="AB48" s="129" t="s">
        <v>352</v>
      </c>
    </row>
    <row r="49" spans="1:32" ht="19.5" thickBot="1">
      <c r="A49" t="s">
        <v>920</v>
      </c>
      <c r="C49" s="3"/>
      <c r="F49" s="16">
        <v>1.99</v>
      </c>
      <c r="G49" s="6" t="s">
        <v>921</v>
      </c>
      <c r="H49" s="16">
        <v>1.95</v>
      </c>
      <c r="I49" t="s">
        <v>922</v>
      </c>
      <c r="M49" s="112"/>
      <c r="N49" s="130"/>
      <c r="O49" s="131"/>
      <c r="P49" s="131"/>
      <c r="Q49" s="134" t="s">
        <v>354</v>
      </c>
      <c r="R49" s="131"/>
      <c r="S49" s="131"/>
      <c r="T49" s="131"/>
      <c r="U49" s="131"/>
      <c r="V49" s="131"/>
      <c r="W49" s="131"/>
      <c r="X49" s="131"/>
      <c r="Y49" s="131"/>
      <c r="Z49" s="131"/>
      <c r="AA49" s="132">
        <f>AA48*0.19</f>
        <v>0.3240021369381923</v>
      </c>
      <c r="AB49" s="133" t="s">
        <v>497</v>
      </c>
    </row>
    <row r="50" spans="1:32" ht="15" customHeight="1">
      <c r="B50" t="s">
        <v>632</v>
      </c>
      <c r="F50" s="16">
        <v>0</v>
      </c>
      <c r="H50" t="s">
        <v>475</v>
      </c>
      <c r="O50" s="2"/>
      <c r="P50" s="2"/>
      <c r="Q50" s="1"/>
      <c r="S50" s="1"/>
      <c r="U50" s="2"/>
    </row>
    <row r="51" spans="1:32" ht="15" customHeight="1">
      <c r="F51" s="16"/>
      <c r="H51" t="s">
        <v>476</v>
      </c>
      <c r="O51" s="2"/>
      <c r="P51" s="2"/>
      <c r="Q51" s="1"/>
      <c r="S51" s="1"/>
      <c r="U51" s="2"/>
    </row>
    <row r="52" spans="1:32">
      <c r="A52" t="s">
        <v>536</v>
      </c>
      <c r="F52" s="17" t="s">
        <v>541</v>
      </c>
      <c r="G52" s="17" t="s">
        <v>542</v>
      </c>
      <c r="H52" s="17" t="s">
        <v>543</v>
      </c>
      <c r="I52" s="17" t="s">
        <v>544</v>
      </c>
      <c r="J52" s="17" t="s">
        <v>545</v>
      </c>
      <c r="K52" s="17" t="s">
        <v>546</v>
      </c>
      <c r="L52" s="17" t="s">
        <v>547</v>
      </c>
      <c r="M52" s="17" t="s">
        <v>548</v>
      </c>
      <c r="N52" s="13" t="s">
        <v>612</v>
      </c>
      <c r="O52" s="17" t="s">
        <v>549</v>
      </c>
      <c r="P52" s="17" t="s">
        <v>550</v>
      </c>
      <c r="Q52" s="17" t="s">
        <v>551</v>
      </c>
      <c r="R52" s="17" t="s">
        <v>552</v>
      </c>
      <c r="S52" s="17" t="s">
        <v>554</v>
      </c>
      <c r="T52" s="17" t="s">
        <v>555</v>
      </c>
      <c r="U52" s="17" t="s">
        <v>553</v>
      </c>
      <c r="V52" s="17" t="s">
        <v>556</v>
      </c>
      <c r="W52" s="17" t="s">
        <v>557</v>
      </c>
    </row>
    <row r="53" spans="1:32">
      <c r="A53" t="s">
        <v>562</v>
      </c>
      <c r="F53" s="14">
        <v>0.1</v>
      </c>
      <c r="G53" s="14">
        <v>0.1</v>
      </c>
      <c r="H53" s="14">
        <v>0.1</v>
      </c>
      <c r="I53" s="14">
        <v>0.1</v>
      </c>
      <c r="J53" s="14">
        <v>0.1</v>
      </c>
      <c r="K53" s="14">
        <v>0.1</v>
      </c>
      <c r="L53" s="14">
        <v>0.1</v>
      </c>
      <c r="M53" s="14">
        <v>0.1</v>
      </c>
      <c r="N53" s="14">
        <v>0.1</v>
      </c>
      <c r="O53" s="16">
        <v>0.1</v>
      </c>
      <c r="P53" s="16">
        <v>0.1</v>
      </c>
      <c r="Q53" s="16">
        <v>0.1</v>
      </c>
      <c r="R53" s="16">
        <v>0.4</v>
      </c>
      <c r="S53" s="16">
        <v>0.7</v>
      </c>
      <c r="T53" s="16">
        <v>0.7</v>
      </c>
      <c r="U53" s="16">
        <v>0.7</v>
      </c>
      <c r="V53" s="16">
        <v>0.7</v>
      </c>
      <c r="W53" s="16">
        <v>0.7</v>
      </c>
    </row>
    <row r="54" spans="1:32">
      <c r="A54" s="5" t="s">
        <v>538</v>
      </c>
      <c r="F54" s="14">
        <v>0.1</v>
      </c>
      <c r="G54" s="14">
        <v>0.1</v>
      </c>
      <c r="H54" s="14">
        <v>0.1</v>
      </c>
      <c r="I54" s="14">
        <v>0.1</v>
      </c>
      <c r="J54" s="14">
        <v>0.1</v>
      </c>
      <c r="K54" s="14">
        <v>0.1</v>
      </c>
      <c r="L54" s="14">
        <v>0.1</v>
      </c>
      <c r="M54" s="14">
        <v>0.1</v>
      </c>
      <c r="N54" s="14">
        <v>0.1</v>
      </c>
      <c r="O54" s="14">
        <v>0.1</v>
      </c>
      <c r="P54" s="14">
        <v>0.1</v>
      </c>
      <c r="Q54" s="14">
        <v>0.1</v>
      </c>
      <c r="R54" s="14">
        <v>0.4</v>
      </c>
      <c r="S54" s="14">
        <v>0.7</v>
      </c>
      <c r="T54" s="14">
        <v>0.7</v>
      </c>
      <c r="U54" s="14">
        <v>0.7</v>
      </c>
      <c r="V54" s="14">
        <v>0.7</v>
      </c>
      <c r="W54" s="14">
        <v>0.7</v>
      </c>
    </row>
    <row r="55" spans="1:32">
      <c r="A55" t="s">
        <v>540</v>
      </c>
      <c r="F55" s="22">
        <f t="shared" ref="F55:K55" si="0">20+$F$50</f>
        <v>20</v>
      </c>
      <c r="G55" s="22">
        <f t="shared" si="0"/>
        <v>20</v>
      </c>
      <c r="H55" s="22">
        <f t="shared" si="0"/>
        <v>20</v>
      </c>
      <c r="I55" s="22">
        <f t="shared" si="0"/>
        <v>20</v>
      </c>
      <c r="J55" s="22">
        <f t="shared" si="0"/>
        <v>20</v>
      </c>
      <c r="K55" s="22">
        <f t="shared" si="0"/>
        <v>20</v>
      </c>
      <c r="L55" s="22">
        <f>15+$F$50</f>
        <v>15</v>
      </c>
      <c r="M55" s="22">
        <f>15+$F$50</f>
        <v>15</v>
      </c>
      <c r="N55" s="22">
        <f>15+$F$50</f>
        <v>15</v>
      </c>
      <c r="O55" s="22">
        <f>10+$F$50</f>
        <v>10</v>
      </c>
      <c r="P55" s="22">
        <f>10+$F$50</f>
        <v>10</v>
      </c>
      <c r="Q55" s="22">
        <f>5+$F$50</f>
        <v>5</v>
      </c>
      <c r="R55" s="22">
        <f>5+$F$50</f>
        <v>5</v>
      </c>
      <c r="S55" s="22">
        <f>0+$F$50</f>
        <v>0</v>
      </c>
      <c r="T55" s="22">
        <f>0+$F$50</f>
        <v>0</v>
      </c>
      <c r="U55" s="22">
        <f>-5+$F$50</f>
        <v>-5</v>
      </c>
      <c r="V55" s="22">
        <f>-5+$F$50</f>
        <v>-5</v>
      </c>
      <c r="W55" s="22">
        <f>-10+$F$50</f>
        <v>-10</v>
      </c>
      <c r="X55" s="16"/>
    </row>
    <row r="56" spans="1:32">
      <c r="A56" s="5" t="s">
        <v>538</v>
      </c>
      <c r="F56" s="14">
        <v>20</v>
      </c>
      <c r="G56" s="14">
        <v>20</v>
      </c>
      <c r="H56" s="14">
        <v>20</v>
      </c>
      <c r="I56" s="14">
        <v>20</v>
      </c>
      <c r="J56" s="14">
        <v>20</v>
      </c>
      <c r="K56" s="14">
        <v>20</v>
      </c>
      <c r="L56" s="14">
        <v>15</v>
      </c>
      <c r="M56" s="14">
        <v>15</v>
      </c>
      <c r="N56" s="14">
        <v>15</v>
      </c>
      <c r="O56" s="14">
        <v>10</v>
      </c>
      <c r="P56" s="14">
        <v>10</v>
      </c>
      <c r="Q56" s="14">
        <v>5</v>
      </c>
      <c r="R56" s="14">
        <v>5</v>
      </c>
      <c r="S56" s="14">
        <v>0</v>
      </c>
      <c r="T56" s="14">
        <v>0</v>
      </c>
      <c r="U56" s="14">
        <v>-5</v>
      </c>
      <c r="V56" s="14">
        <v>-5</v>
      </c>
      <c r="W56" s="14">
        <v>-10</v>
      </c>
      <c r="X56" s="16"/>
    </row>
    <row r="57" spans="1:32">
      <c r="A57" t="s">
        <v>533</v>
      </c>
      <c r="E57" t="s">
        <v>479</v>
      </c>
      <c r="F57" s="8">
        <f t="shared" ref="F57:W57" si="1">$L$36*(F55+273)^4</f>
        <v>420.09289565699999</v>
      </c>
      <c r="G57" s="8">
        <f t="shared" si="1"/>
        <v>420.09289565699999</v>
      </c>
      <c r="H57" s="8">
        <f t="shared" si="1"/>
        <v>420.09289565699999</v>
      </c>
      <c r="I57" s="8">
        <f t="shared" si="1"/>
        <v>420.09289565699999</v>
      </c>
      <c r="J57" s="8">
        <f t="shared" si="1"/>
        <v>420.09289565699999</v>
      </c>
      <c r="K57" s="8">
        <f t="shared" si="1"/>
        <v>420.09289565699999</v>
      </c>
      <c r="L57" s="8">
        <f t="shared" si="1"/>
        <v>392.143306752</v>
      </c>
      <c r="M57" s="8">
        <f t="shared" si="1"/>
        <v>392.143306752</v>
      </c>
      <c r="N57" s="8">
        <f t="shared" si="1"/>
        <v>392.143306752</v>
      </c>
      <c r="O57" s="8">
        <f t="shared" si="1"/>
        <v>365.61213149700001</v>
      </c>
      <c r="P57" s="8">
        <f t="shared" si="1"/>
        <v>365.61213149700001</v>
      </c>
      <c r="Q57" s="8">
        <f t="shared" si="1"/>
        <v>340.45054939200003</v>
      </c>
      <c r="R57" s="8">
        <f t="shared" si="1"/>
        <v>340.45054939200003</v>
      </c>
      <c r="S57" s="8">
        <f t="shared" si="1"/>
        <v>316.61059493700003</v>
      </c>
      <c r="T57" s="8">
        <f t="shared" si="1"/>
        <v>316.61059493700003</v>
      </c>
      <c r="U57" s="8">
        <f t="shared" si="1"/>
        <v>294.04515763199998</v>
      </c>
      <c r="V57" s="8">
        <f t="shared" si="1"/>
        <v>294.04515763199998</v>
      </c>
      <c r="W57" s="8">
        <f t="shared" si="1"/>
        <v>272.70798197700003</v>
      </c>
      <c r="X57" s="8"/>
    </row>
    <row r="58" spans="1:32">
      <c r="O58" s="2"/>
      <c r="P58" s="2"/>
      <c r="Q58" s="1"/>
      <c r="S58" s="1"/>
      <c r="U58" s="2"/>
    </row>
    <row r="59" spans="1:32">
      <c r="A59" t="s">
        <v>527</v>
      </c>
      <c r="H59" s="4" t="s">
        <v>484</v>
      </c>
      <c r="I59" s="4" t="s">
        <v>486</v>
      </c>
      <c r="J59" s="4" t="s">
        <v>485</v>
      </c>
      <c r="K59" s="4" t="s">
        <v>487</v>
      </c>
      <c r="L59" s="4" t="s">
        <v>488</v>
      </c>
      <c r="M59" s="4" t="s">
        <v>489</v>
      </c>
      <c r="N59" s="4" t="s">
        <v>490</v>
      </c>
      <c r="O59" s="4" t="s">
        <v>491</v>
      </c>
      <c r="P59" s="4" t="s">
        <v>494</v>
      </c>
      <c r="Q59" s="4" t="s">
        <v>492</v>
      </c>
      <c r="R59" s="4" t="s">
        <v>495</v>
      </c>
      <c r="S59" s="4" t="s">
        <v>493</v>
      </c>
      <c r="T59" s="4" t="s">
        <v>515</v>
      </c>
      <c r="U59" s="4" t="s">
        <v>517</v>
      </c>
      <c r="V59" s="4" t="s">
        <v>518</v>
      </c>
      <c r="W59" s="4" t="s">
        <v>516</v>
      </c>
      <c r="X59" s="4" t="s">
        <v>519</v>
      </c>
      <c r="Y59" s="4" t="s">
        <v>520</v>
      </c>
      <c r="Z59" s="4" t="s">
        <v>521</v>
      </c>
      <c r="AA59" s="4" t="s">
        <v>522</v>
      </c>
      <c r="AB59" s="4" t="s">
        <v>523</v>
      </c>
      <c r="AC59" s="4" t="s">
        <v>524</v>
      </c>
      <c r="AD59" s="4" t="s">
        <v>525</v>
      </c>
      <c r="AE59" s="4" t="s">
        <v>526</v>
      </c>
    </row>
    <row r="60" spans="1:32">
      <c r="B60" s="5" t="s">
        <v>458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1</v>
      </c>
      <c r="Q60" s="16">
        <v>1</v>
      </c>
      <c r="R60" s="16">
        <v>1</v>
      </c>
      <c r="S60" s="16">
        <v>1</v>
      </c>
      <c r="T60" s="16">
        <v>1</v>
      </c>
      <c r="U60" s="16">
        <v>1</v>
      </c>
      <c r="V60" s="16">
        <v>1</v>
      </c>
      <c r="W60" s="16">
        <v>1</v>
      </c>
      <c r="X60" s="16">
        <v>1</v>
      </c>
      <c r="Y60" s="16">
        <v>1</v>
      </c>
      <c r="Z60" s="16">
        <v>1</v>
      </c>
      <c r="AA60" s="16">
        <v>1</v>
      </c>
      <c r="AB60" s="7">
        <v>0</v>
      </c>
      <c r="AC60" s="7">
        <v>0</v>
      </c>
      <c r="AD60" s="7">
        <v>0</v>
      </c>
      <c r="AE60" s="7">
        <v>0</v>
      </c>
    </row>
    <row r="61" spans="1:32">
      <c r="B61" s="5" t="s">
        <v>597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1</v>
      </c>
      <c r="Q61" s="5">
        <v>1</v>
      </c>
      <c r="R61" s="5">
        <v>1</v>
      </c>
      <c r="S61" s="5">
        <v>1</v>
      </c>
      <c r="T61" s="5">
        <v>1</v>
      </c>
      <c r="U61" s="5">
        <v>1</v>
      </c>
      <c r="V61" s="5">
        <v>1</v>
      </c>
      <c r="W61" s="5">
        <v>1</v>
      </c>
      <c r="X61" s="5">
        <v>1</v>
      </c>
      <c r="Y61" s="5">
        <v>1</v>
      </c>
      <c r="Z61" s="5">
        <v>1</v>
      </c>
      <c r="AA61" s="5">
        <v>1</v>
      </c>
      <c r="AB61" s="5">
        <v>0</v>
      </c>
      <c r="AC61" s="5">
        <v>0</v>
      </c>
      <c r="AD61" s="5">
        <v>0</v>
      </c>
      <c r="AE61" s="5">
        <v>0</v>
      </c>
    </row>
    <row r="62" spans="1:32">
      <c r="B62" s="5" t="s">
        <v>934</v>
      </c>
      <c r="H62" s="14">
        <f t="shared" ref="H62:AE62" si="2">1-H$60*(1-$F$47)</f>
        <v>1</v>
      </c>
      <c r="I62" s="14">
        <f t="shared" si="2"/>
        <v>1</v>
      </c>
      <c r="J62" s="14">
        <f t="shared" si="2"/>
        <v>1</v>
      </c>
      <c r="K62" s="14">
        <f t="shared" si="2"/>
        <v>1</v>
      </c>
      <c r="L62" s="14">
        <f t="shared" si="2"/>
        <v>1</v>
      </c>
      <c r="M62" s="14">
        <f t="shared" si="2"/>
        <v>1</v>
      </c>
      <c r="N62" s="14">
        <f t="shared" si="2"/>
        <v>1</v>
      </c>
      <c r="O62" s="14">
        <f t="shared" si="2"/>
        <v>1</v>
      </c>
      <c r="P62" s="14">
        <f t="shared" si="2"/>
        <v>5.0000000000000044E-2</v>
      </c>
      <c r="Q62" s="14">
        <f t="shared" si="2"/>
        <v>5.0000000000000044E-2</v>
      </c>
      <c r="R62" s="14">
        <f t="shared" si="2"/>
        <v>5.0000000000000044E-2</v>
      </c>
      <c r="S62" s="14">
        <f t="shared" si="2"/>
        <v>5.0000000000000044E-2</v>
      </c>
      <c r="T62" s="14">
        <f t="shared" si="2"/>
        <v>5.0000000000000044E-2</v>
      </c>
      <c r="U62" s="14">
        <f t="shared" si="2"/>
        <v>5.0000000000000044E-2</v>
      </c>
      <c r="V62" s="14">
        <f t="shared" si="2"/>
        <v>5.0000000000000044E-2</v>
      </c>
      <c r="W62" s="14">
        <f t="shared" si="2"/>
        <v>5.0000000000000044E-2</v>
      </c>
      <c r="X62" s="14">
        <f t="shared" si="2"/>
        <v>5.0000000000000044E-2</v>
      </c>
      <c r="Y62" s="14">
        <f t="shared" si="2"/>
        <v>5.0000000000000044E-2</v>
      </c>
      <c r="Z62" s="14">
        <f t="shared" si="2"/>
        <v>5.0000000000000044E-2</v>
      </c>
      <c r="AA62" s="14">
        <f t="shared" si="2"/>
        <v>5.0000000000000044E-2</v>
      </c>
      <c r="AB62" s="14">
        <f t="shared" si="2"/>
        <v>1</v>
      </c>
      <c r="AC62" s="14">
        <f t="shared" si="2"/>
        <v>1</v>
      </c>
      <c r="AD62" s="14">
        <f t="shared" si="2"/>
        <v>1</v>
      </c>
      <c r="AE62" s="14">
        <f t="shared" si="2"/>
        <v>1</v>
      </c>
    </row>
    <row r="63" spans="1:32"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>
      <c r="A64" s="3" t="s">
        <v>602</v>
      </c>
      <c r="D64" t="s">
        <v>397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>
      <c r="B65" s="3" t="s">
        <v>735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>
      <c r="B66" s="3" t="s">
        <v>815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>
      <c r="B67" s="3" t="s">
        <v>736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>
      <c r="B68" s="3" t="s">
        <v>816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>
      <c r="B69" s="3" t="s">
        <v>737</v>
      </c>
      <c r="G69" s="2"/>
      <c r="H69" s="2"/>
      <c r="I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>
      <c r="B70" s="3" t="s">
        <v>817</v>
      </c>
      <c r="G70" s="2"/>
      <c r="H70" s="2"/>
      <c r="I70" s="2"/>
      <c r="K70" s="2"/>
      <c r="L70" s="2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>
      <c r="C71" s="3"/>
      <c r="G71" s="2"/>
      <c r="H71" s="2"/>
      <c r="I71" s="2"/>
      <c r="K71" s="2"/>
      <c r="L71" s="2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>
      <c r="A72" s="3" t="s">
        <v>814</v>
      </c>
      <c r="C72" s="3"/>
      <c r="G72" s="2"/>
      <c r="H72" s="2"/>
      <c r="I72" s="2"/>
      <c r="K72" s="2"/>
      <c r="L72" s="2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>
      <c r="A73" t="s">
        <v>578</v>
      </c>
      <c r="C73" s="3"/>
      <c r="G73" s="2"/>
      <c r="H73" s="2"/>
      <c r="I73" s="2"/>
      <c r="K73" s="2"/>
      <c r="L73" s="2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>
      <c r="B74" t="s">
        <v>577</v>
      </c>
      <c r="C74" s="3"/>
      <c r="G74" s="2"/>
      <c r="H74" s="2"/>
      <c r="I74" s="2"/>
      <c r="K74" s="2"/>
      <c r="L74" s="2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>
      <c r="B75" t="s">
        <v>579</v>
      </c>
      <c r="C75" s="3"/>
      <c r="G75" s="2"/>
      <c r="H75" s="2"/>
      <c r="I75" s="2"/>
      <c r="K75" s="2"/>
      <c r="L75" s="2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>
      <c r="A76" t="s">
        <v>709</v>
      </c>
      <c r="I76" s="2"/>
      <c r="K76" s="2"/>
      <c r="L76" s="2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>
      <c r="A77" t="s">
        <v>708</v>
      </c>
      <c r="C77" s="3"/>
      <c r="G77" s="2"/>
      <c r="H77" s="2"/>
      <c r="I77" s="2"/>
      <c r="K77" s="2"/>
      <c r="L77" s="2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5.75" thickBot="1">
      <c r="A78" s="112"/>
      <c r="B78" s="112"/>
      <c r="C78" s="162"/>
      <c r="D78" s="112"/>
      <c r="E78" s="112"/>
      <c r="F78" s="112"/>
      <c r="G78" s="119"/>
      <c r="H78" s="119"/>
      <c r="I78" s="2"/>
      <c r="K78" s="2"/>
      <c r="L78" s="2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>
      <c r="A79" s="163" t="s">
        <v>464</v>
      </c>
      <c r="B79" s="121"/>
      <c r="C79" s="164"/>
      <c r="D79" s="121"/>
      <c r="E79" s="164"/>
      <c r="F79" s="121"/>
      <c r="G79" s="165"/>
      <c r="H79" s="165"/>
      <c r="I79" s="165"/>
      <c r="J79" s="121"/>
      <c r="K79" s="165"/>
      <c r="L79" s="166"/>
      <c r="M79" s="165"/>
      <c r="N79" s="165"/>
      <c r="O79" s="165"/>
      <c r="P79" s="165"/>
      <c r="Q79" s="167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>
      <c r="A80" s="125" t="s">
        <v>431</v>
      </c>
      <c r="B80" s="162"/>
      <c r="C80" s="112" t="s">
        <v>442</v>
      </c>
      <c r="D80" s="112" t="s">
        <v>432</v>
      </c>
      <c r="E80" s="112"/>
      <c r="F80" s="162"/>
      <c r="G80" s="119"/>
      <c r="H80" s="119"/>
      <c r="I80" s="168">
        <v>1.7100000000000001E-4</v>
      </c>
      <c r="J80" s="112"/>
      <c r="K80" s="119"/>
      <c r="L80" s="169"/>
      <c r="M80" s="119"/>
      <c r="N80" s="119"/>
      <c r="O80" s="119"/>
      <c r="P80" s="119"/>
      <c r="Q80" s="127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>
      <c r="A81" s="125"/>
      <c r="B81" s="112"/>
      <c r="C81" s="162"/>
      <c r="D81" s="112" t="s">
        <v>433</v>
      </c>
      <c r="E81" s="112"/>
      <c r="F81" s="112"/>
      <c r="G81" s="162"/>
      <c r="H81" s="119"/>
      <c r="I81" s="119"/>
      <c r="J81" s="112"/>
      <c r="K81" s="119"/>
      <c r="L81" s="169"/>
      <c r="M81" s="119"/>
      <c r="N81" s="112"/>
      <c r="O81" s="119"/>
      <c r="P81" s="119"/>
      <c r="Q81" s="127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4.45" customHeight="1">
      <c r="A82" s="125" t="s">
        <v>434</v>
      </c>
      <c r="B82" s="112"/>
      <c r="C82" s="162" t="s">
        <v>466</v>
      </c>
      <c r="D82" s="112" t="s">
        <v>435</v>
      </c>
      <c r="E82" s="112"/>
      <c r="F82" s="112"/>
      <c r="G82" s="119"/>
      <c r="H82" s="162"/>
      <c r="I82" s="119"/>
      <c r="J82" s="112"/>
      <c r="K82" s="119"/>
      <c r="L82" s="169"/>
      <c r="M82" s="119"/>
      <c r="N82" s="119"/>
      <c r="O82" s="119"/>
      <c r="P82" s="119"/>
      <c r="Q82" s="127"/>
      <c r="R82" s="2"/>
      <c r="S82" s="2"/>
      <c r="T82" s="32"/>
      <c r="U82" s="2"/>
      <c r="V82" s="2"/>
      <c r="W82" s="2"/>
      <c r="X82" s="2"/>
      <c r="Y82" s="2"/>
      <c r="Z82" s="41"/>
      <c r="AA82" s="42"/>
      <c r="AB82" s="2"/>
      <c r="AC82" s="2"/>
      <c r="AD82" s="2"/>
      <c r="AE82" s="2"/>
      <c r="AF82" s="2"/>
    </row>
    <row r="83" spans="1:32" ht="14.45" customHeight="1">
      <c r="A83" s="125"/>
      <c r="B83" s="112"/>
      <c r="C83" s="162"/>
      <c r="D83" s="112" t="s">
        <v>436</v>
      </c>
      <c r="E83" s="112"/>
      <c r="F83" s="112"/>
      <c r="G83" s="119"/>
      <c r="H83" s="119"/>
      <c r="I83" s="170" t="s">
        <v>439</v>
      </c>
      <c r="J83" s="112"/>
      <c r="K83" s="119"/>
      <c r="L83" s="169"/>
      <c r="M83" s="119"/>
      <c r="N83" s="112"/>
      <c r="O83" s="112"/>
      <c r="P83" s="112"/>
      <c r="Q83" s="127"/>
      <c r="R83" s="2"/>
      <c r="S83" s="2"/>
      <c r="T83" s="2"/>
      <c r="U83" s="32"/>
      <c r="V83" s="2"/>
      <c r="W83" s="2"/>
      <c r="X83" s="2"/>
      <c r="Y83" s="2"/>
      <c r="Z83" s="41"/>
      <c r="AA83" s="42"/>
      <c r="AB83" s="2"/>
      <c r="AC83" s="2"/>
      <c r="AD83" s="2"/>
      <c r="AE83" s="2"/>
      <c r="AF83" s="2"/>
    </row>
    <row r="84" spans="1:32" ht="14.45" customHeight="1">
      <c r="A84" s="125"/>
      <c r="B84" s="112"/>
      <c r="C84" s="162"/>
      <c r="D84" s="112"/>
      <c r="E84" s="112"/>
      <c r="F84" s="112"/>
      <c r="G84" s="119"/>
      <c r="H84" s="119"/>
      <c r="I84" s="170"/>
      <c r="J84" s="112"/>
      <c r="K84" s="119"/>
      <c r="L84" s="169"/>
      <c r="M84" s="119"/>
      <c r="N84" s="112"/>
      <c r="O84" s="112"/>
      <c r="P84" s="112"/>
      <c r="Q84" s="127"/>
      <c r="R84" s="2"/>
      <c r="S84" s="2"/>
      <c r="T84" s="2"/>
      <c r="U84" s="32"/>
      <c r="V84" s="2"/>
      <c r="W84" s="2"/>
      <c r="X84" s="2"/>
      <c r="Y84" s="2"/>
      <c r="Z84" s="41"/>
      <c r="AA84" s="42"/>
      <c r="AB84" s="2"/>
      <c r="AC84" s="2"/>
      <c r="AD84" s="2"/>
      <c r="AE84" s="2"/>
      <c r="AF84" s="2"/>
    </row>
    <row r="85" spans="1:32" ht="14.45" customHeight="1">
      <c r="A85" s="125" t="s">
        <v>465</v>
      </c>
      <c r="B85" s="171" t="s">
        <v>465</v>
      </c>
      <c r="C85" s="112"/>
      <c r="D85" s="112"/>
      <c r="E85" s="112"/>
      <c r="F85" s="112"/>
      <c r="G85" s="112"/>
      <c r="H85" s="112"/>
      <c r="I85" s="112"/>
      <c r="J85" s="162"/>
      <c r="K85" s="119"/>
      <c r="L85" s="169"/>
      <c r="M85" s="119"/>
      <c r="N85" s="112"/>
      <c r="O85" s="119"/>
      <c r="P85" s="119"/>
      <c r="Q85" s="127"/>
      <c r="S85" s="2"/>
      <c r="T85" s="2"/>
      <c r="U85" s="2"/>
      <c r="V85" s="2"/>
      <c r="W85" s="2"/>
      <c r="X85" s="2"/>
      <c r="Y85" s="2"/>
      <c r="Z85" s="42"/>
      <c r="AA85" s="41"/>
      <c r="AB85" s="2"/>
      <c r="AC85" s="2"/>
      <c r="AD85" s="2"/>
      <c r="AE85" s="2"/>
      <c r="AF85" s="2"/>
    </row>
    <row r="86" spans="1:32">
      <c r="A86" s="172" t="s">
        <v>443</v>
      </c>
      <c r="B86" s="171" t="s">
        <v>440</v>
      </c>
      <c r="C86" s="173" t="s">
        <v>437</v>
      </c>
      <c r="D86" s="112" t="s">
        <v>445</v>
      </c>
      <c r="E86" s="112"/>
      <c r="F86" s="92" t="s">
        <v>438</v>
      </c>
      <c r="G86" s="174" t="s">
        <v>469</v>
      </c>
      <c r="H86" s="174"/>
      <c r="I86" s="91" t="s">
        <v>441</v>
      </c>
      <c r="J86" s="175"/>
      <c r="K86" s="119"/>
      <c r="L86" s="169"/>
      <c r="M86" s="112"/>
      <c r="N86" s="112"/>
      <c r="O86" s="112"/>
      <c r="P86" s="175"/>
      <c r="Q86" s="176"/>
      <c r="R86" s="2"/>
      <c r="S86" s="40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>
      <c r="A87" s="125"/>
      <c r="B87" s="112"/>
      <c r="C87" s="177" t="s">
        <v>447</v>
      </c>
      <c r="D87" s="178"/>
      <c r="E87" s="175"/>
      <c r="F87" s="91"/>
      <c r="G87" s="190">
        <v>100000</v>
      </c>
      <c r="H87" s="174" t="s">
        <v>440</v>
      </c>
      <c r="I87" s="179"/>
      <c r="J87" s="175"/>
      <c r="K87" s="119"/>
      <c r="L87" s="169"/>
      <c r="M87" s="112"/>
      <c r="N87" s="90"/>
      <c r="O87" s="91"/>
      <c r="P87" s="179"/>
      <c r="Q87" s="176"/>
      <c r="R87" s="2"/>
      <c r="S87" s="35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>
      <c r="A88" s="125">
        <v>10</v>
      </c>
      <c r="B88" s="112">
        <v>1E-3</v>
      </c>
      <c r="C88" s="180">
        <f>4/3*PI()*(B88/2)^3</f>
        <v>5.2359877559829886E-10</v>
      </c>
      <c r="D88" s="181">
        <f>C88*981</f>
        <v>5.1365039886193121E-7</v>
      </c>
      <c r="E88" s="175"/>
      <c r="F88" s="91">
        <f>D88/(3*PI()*$I$80*B88)</f>
        <v>0.31871345029239767</v>
      </c>
      <c r="G88" s="174">
        <f>$G$87/$F88/86400/365</f>
        <v>9.949310879309621E-3</v>
      </c>
      <c r="H88" s="174" t="s">
        <v>444</v>
      </c>
      <c r="I88" s="174" t="s">
        <v>477</v>
      </c>
      <c r="J88" s="175"/>
      <c r="K88" s="119"/>
      <c r="L88" s="169"/>
      <c r="M88" s="112"/>
      <c r="N88" s="112"/>
      <c r="O88" s="175"/>
      <c r="P88" s="175"/>
      <c r="Q88" s="176"/>
      <c r="R88" s="2"/>
      <c r="S88" s="35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>
      <c r="A89" s="125">
        <v>1</v>
      </c>
      <c r="B89" s="112">
        <v>1E-4</v>
      </c>
      <c r="C89" s="180">
        <f>4/3*PI()*(B89/2)^3</f>
        <v>5.2359877559829878E-13</v>
      </c>
      <c r="D89" s="181">
        <f>C89*981</f>
        <v>5.1365039886193111E-10</v>
      </c>
      <c r="E89" s="175"/>
      <c r="F89" s="182">
        <f>D89/(3*PI()*$I$80*B89)</f>
        <v>3.1871345029239758E-3</v>
      </c>
      <c r="G89" s="174">
        <f>$G$87/$F89/86400/365</f>
        <v>0.99493108793096252</v>
      </c>
      <c r="H89" s="174" t="s">
        <v>444</v>
      </c>
      <c r="I89" s="174" t="s">
        <v>446</v>
      </c>
      <c r="J89" s="175"/>
      <c r="K89" s="119"/>
      <c r="L89" s="169"/>
      <c r="M89" s="112"/>
      <c r="N89" s="175"/>
      <c r="O89" s="175"/>
      <c r="P89" s="175"/>
      <c r="Q89" s="176"/>
      <c r="R89" s="2"/>
      <c r="S89" s="35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>
      <c r="A90" s="125">
        <v>0.4</v>
      </c>
      <c r="B90" s="168">
        <v>4.0000000000000003E-5</v>
      </c>
      <c r="C90" s="180">
        <f>4/3*PI()*(B90/2)^3</f>
        <v>3.3510321638291131E-14</v>
      </c>
      <c r="D90" s="181">
        <f>C90*981</f>
        <v>3.2873625527163598E-11</v>
      </c>
      <c r="E90" s="175"/>
      <c r="F90" s="182">
        <f>D90/(3*PI()*$I$80*B90)</f>
        <v>5.0994152046783623E-4</v>
      </c>
      <c r="G90" s="174">
        <f>$G$87/$F90/86400/365</f>
        <v>6.2183192995685141</v>
      </c>
      <c r="H90" s="174" t="s">
        <v>444</v>
      </c>
      <c r="I90" s="174"/>
      <c r="J90" s="175"/>
      <c r="K90" s="119"/>
      <c r="L90" s="169"/>
      <c r="M90" s="112"/>
      <c r="N90" s="175"/>
      <c r="O90" s="175"/>
      <c r="P90" s="175"/>
      <c r="Q90" s="176"/>
      <c r="R90" s="2"/>
      <c r="S90" s="35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>
      <c r="A91" s="125">
        <v>0.1</v>
      </c>
      <c r="B91" s="168">
        <v>1.0000000000000001E-5</v>
      </c>
      <c r="C91" s="180">
        <f>4/3*PI()*(B91/2)^3</f>
        <v>5.2359877559829892E-16</v>
      </c>
      <c r="D91" s="181">
        <f>C91*981</f>
        <v>5.1365039886193121E-13</v>
      </c>
      <c r="E91" s="175"/>
      <c r="F91" s="182">
        <f>D91/(3*PI()*$I$80*B91)</f>
        <v>3.1871345029239764E-5</v>
      </c>
      <c r="G91" s="174">
        <f>$G$87/$F91/86400/365</f>
        <v>99.493108793096226</v>
      </c>
      <c r="H91" s="174" t="s">
        <v>444</v>
      </c>
      <c r="I91" s="174" t="s">
        <v>467</v>
      </c>
      <c r="J91" s="175"/>
      <c r="K91" s="119"/>
      <c r="L91" s="169"/>
      <c r="M91" s="112"/>
      <c r="N91" s="175"/>
      <c r="O91" s="175"/>
      <c r="P91" s="175"/>
      <c r="Q91" s="176"/>
      <c r="R91" s="2"/>
      <c r="S91" s="35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>
      <c r="A92" s="125">
        <v>0.01</v>
      </c>
      <c r="B92" s="168">
        <v>9.9999999999999995E-7</v>
      </c>
      <c r="C92" s="180">
        <f>4/3*PI()*(B92/2)^3</f>
        <v>5.235987755982988E-19</v>
      </c>
      <c r="D92" s="181">
        <f>C92*981</f>
        <v>5.1365039886193108E-16</v>
      </c>
      <c r="E92" s="175"/>
      <c r="F92" s="182">
        <f>D92/(3*PI()*$I$80*B92)</f>
        <v>3.1871345029239762E-7</v>
      </c>
      <c r="G92" s="174">
        <f>$G$87/$F92/86400/365</f>
        <v>9949.3108793096253</v>
      </c>
      <c r="H92" s="174" t="s">
        <v>444</v>
      </c>
      <c r="I92" s="174" t="s">
        <v>468</v>
      </c>
      <c r="J92" s="175"/>
      <c r="K92" s="119"/>
      <c r="L92" s="169"/>
      <c r="M92" s="112"/>
      <c r="N92" s="175"/>
      <c r="O92" s="175"/>
      <c r="P92" s="175"/>
      <c r="Q92" s="176"/>
      <c r="R92" s="2"/>
      <c r="S92" s="35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>
      <c r="A93" s="125"/>
      <c r="B93" s="112"/>
      <c r="C93" s="112"/>
      <c r="D93" s="112"/>
      <c r="E93" s="112"/>
      <c r="F93" s="90"/>
      <c r="G93" s="90"/>
      <c r="H93" s="90"/>
      <c r="I93" s="91"/>
      <c r="J93" s="175"/>
      <c r="K93" s="119"/>
      <c r="L93" s="169"/>
      <c r="M93" s="112"/>
      <c r="N93" s="175"/>
      <c r="O93" s="175"/>
      <c r="P93" s="175"/>
      <c r="Q93" s="176"/>
      <c r="R93" s="2"/>
      <c r="S93" s="35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5.75" thickBot="1">
      <c r="A94" s="183"/>
      <c r="B94" s="184" t="s">
        <v>448</v>
      </c>
      <c r="C94" s="185"/>
      <c r="D94" s="185"/>
      <c r="E94" s="185"/>
      <c r="F94" s="185"/>
      <c r="G94" s="185"/>
      <c r="H94" s="185"/>
      <c r="I94" s="186"/>
      <c r="J94" s="186"/>
      <c r="K94" s="187"/>
      <c r="L94" s="188"/>
      <c r="M94" s="185"/>
      <c r="N94" s="186"/>
      <c r="O94" s="186"/>
      <c r="P94" s="186"/>
      <c r="Q94" s="189"/>
      <c r="R94" s="2"/>
      <c r="S94" s="35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>
      <c r="C95" s="37"/>
      <c r="D95" s="35"/>
      <c r="E95" s="36"/>
      <c r="F95" s="36"/>
      <c r="G95" s="36"/>
      <c r="H95" s="36"/>
      <c r="I95" s="36"/>
      <c r="J95" s="36"/>
      <c r="K95" s="2"/>
      <c r="L95" s="21"/>
      <c r="N95" s="36"/>
      <c r="O95" s="36"/>
      <c r="P95" s="36"/>
      <c r="Q95" s="36"/>
      <c r="R95" s="2"/>
      <c r="S95" s="35"/>
      <c r="T95" s="2"/>
      <c r="U95" s="2"/>
      <c r="V95" s="2"/>
      <c r="W95" s="2"/>
      <c r="X95" s="2"/>
      <c r="Y95" s="2"/>
      <c r="Z95" s="2"/>
      <c r="AA95" s="2"/>
      <c r="AB95" s="2"/>
      <c r="AC95" s="32"/>
      <c r="AD95" s="2"/>
      <c r="AE95" s="2"/>
      <c r="AF95" s="2"/>
    </row>
    <row r="119" spans="1:32">
      <c r="A119" s="5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>
      <c r="A120" s="20"/>
      <c r="B120" s="5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>
      <c r="A121" s="16"/>
      <c r="E121" s="12"/>
      <c r="F121" s="6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>
      <c r="A122" s="20"/>
      <c r="C122" s="5"/>
      <c r="E122" s="12"/>
      <c r="F122" s="6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>
      <c r="A123" s="20"/>
      <c r="E123" s="12"/>
      <c r="F123" s="6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>
      <c r="A124" s="20"/>
      <c r="E124" s="30"/>
      <c r="F124" s="6"/>
      <c r="G124" s="19"/>
      <c r="I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>
      <c r="A125" s="20"/>
      <c r="B125" s="16"/>
      <c r="E125" s="30"/>
      <c r="F125" s="6"/>
      <c r="G125" s="32"/>
      <c r="H125" s="3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>
      <c r="A126" s="20"/>
      <c r="E126" s="12"/>
      <c r="F126" s="6"/>
      <c r="G126" s="2"/>
      <c r="H126" s="2"/>
      <c r="I126" s="21"/>
      <c r="J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s="11" customFormat="1">
      <c r="A127" s="3"/>
      <c r="D127"/>
      <c r="E127" s="27"/>
      <c r="F127" s="18"/>
      <c r="G127" s="19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8"/>
    </row>
    <row r="128" spans="1:32" s="11" customFormat="1">
      <c r="A128" s="3"/>
      <c r="B128" s="5"/>
      <c r="D128"/>
      <c r="E128"/>
      <c r="F128" s="27"/>
      <c r="H128" s="2"/>
      <c r="I128" s="2"/>
      <c r="J128" s="2"/>
      <c r="K128" s="2"/>
      <c r="L128" s="2"/>
      <c r="M128" s="2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</row>
    <row r="129" spans="1:32" s="11" customFormat="1">
      <c r="A129" s="3"/>
      <c r="E129" s="27"/>
      <c r="F129" s="6"/>
      <c r="G129" s="19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8"/>
    </row>
    <row r="130" spans="1:32" s="11" customFormat="1">
      <c r="A130" s="20"/>
      <c r="B130" s="5"/>
      <c r="D130"/>
      <c r="E130" s="27"/>
      <c r="F130" s="6"/>
      <c r="G130" s="2"/>
      <c r="I130" s="29"/>
      <c r="J130" s="28"/>
      <c r="K130"/>
      <c r="M130" s="28"/>
      <c r="N130" s="2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32" s="11" customFormat="1">
      <c r="A131" s="20"/>
      <c r="B131" s="14"/>
      <c r="C131"/>
      <c r="D131"/>
      <c r="E131"/>
      <c r="F131"/>
      <c r="G131" s="28"/>
      <c r="H131" s="2"/>
      <c r="I131" s="29"/>
      <c r="J131" s="28"/>
      <c r="L131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32" s="11" customFormat="1">
      <c r="E132" s="21"/>
      <c r="F132" s="6"/>
      <c r="G132" s="25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8"/>
    </row>
    <row r="133" spans="1:32" s="11" customFormat="1">
      <c r="A133" s="20"/>
      <c r="B133" s="5"/>
      <c r="D133"/>
      <c r="E133" s="27"/>
      <c r="F133" s="6"/>
      <c r="G133" s="28"/>
      <c r="H133"/>
      <c r="I133" s="29"/>
      <c r="K133" s="2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</row>
    <row r="134" spans="1:32" s="11" customFormat="1">
      <c r="A134" s="20"/>
      <c r="E134" s="27"/>
      <c r="F134" s="6"/>
      <c r="G134" s="25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8"/>
    </row>
    <row r="135" spans="1:32">
      <c r="A135" s="20"/>
      <c r="B135" s="5"/>
      <c r="E135" s="2"/>
      <c r="G135" s="2"/>
      <c r="I135" s="11"/>
      <c r="J135" s="28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>
      <c r="B136" s="12"/>
      <c r="E136" s="12"/>
      <c r="F136" s="6"/>
      <c r="G136" s="32"/>
      <c r="H136" s="3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>
      <c r="B137" s="11"/>
      <c r="C137" s="14"/>
      <c r="E137" s="12"/>
      <c r="F137" s="6"/>
      <c r="G137" s="32"/>
      <c r="H137" s="3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>
      <c r="B138" s="16"/>
      <c r="E138" s="12"/>
      <c r="F138" s="6"/>
      <c r="G138" s="32"/>
      <c r="H138" s="3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s="11" customFormat="1">
      <c r="A140" s="3"/>
      <c r="E140" s="27"/>
      <c r="F140" s="6"/>
      <c r="G140" s="19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8"/>
    </row>
    <row r="141" spans="1:32" s="11" customFormat="1">
      <c r="A141" s="3"/>
      <c r="B141" s="5"/>
      <c r="D141"/>
      <c r="E141"/>
      <c r="F141" s="27"/>
      <c r="H141" s="2"/>
      <c r="I141" s="2"/>
      <c r="J141" s="2"/>
      <c r="K141" s="2"/>
      <c r="L141" s="2"/>
      <c r="M141" s="2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</row>
    <row r="142" spans="1:32" s="11" customFormat="1">
      <c r="A142" s="3"/>
      <c r="E142" s="27"/>
      <c r="F142" s="6"/>
      <c r="G142" s="19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8"/>
    </row>
    <row r="143" spans="1:32" s="11" customFormat="1">
      <c r="A143" s="20"/>
      <c r="B143" s="5"/>
      <c r="D143"/>
      <c r="E143" s="27"/>
      <c r="F143" s="6"/>
      <c r="G143" s="28"/>
      <c r="H143" s="2"/>
      <c r="I143" s="29"/>
      <c r="J143" s="28"/>
      <c r="L143"/>
      <c r="M143" s="28"/>
      <c r="N143"/>
      <c r="O143" s="28"/>
      <c r="P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</row>
    <row r="144" spans="1:32" s="11" customFormat="1">
      <c r="A144" s="20"/>
      <c r="B144" s="14"/>
      <c r="C144"/>
      <c r="D144"/>
      <c r="E144"/>
      <c r="F144"/>
      <c r="G144" s="28"/>
      <c r="H144" s="2"/>
      <c r="I144" s="29"/>
      <c r="J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</row>
    <row r="145" spans="1:32" s="11" customFormat="1">
      <c r="A145" s="14"/>
      <c r="E145" s="27"/>
      <c r="F145" s="6"/>
      <c r="G145" s="25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8"/>
    </row>
    <row r="146" spans="1:32" s="11" customFormat="1">
      <c r="A146" s="20"/>
      <c r="B146" s="5"/>
      <c r="D146"/>
      <c r="E146" s="27"/>
      <c r="F146" s="6"/>
      <c r="G146" s="28"/>
      <c r="H146"/>
      <c r="I146" s="29"/>
      <c r="K146" s="2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</row>
    <row r="147" spans="1:32" s="11" customFormat="1">
      <c r="A147" s="20"/>
      <c r="E147" s="27"/>
      <c r="F147" s="6"/>
      <c r="G147" s="25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8"/>
    </row>
    <row r="148" spans="1:32" s="11" customFormat="1">
      <c r="A148" s="20"/>
      <c r="B148" s="5"/>
      <c r="D148"/>
      <c r="E148" s="2"/>
      <c r="F148"/>
      <c r="G148" s="2"/>
      <c r="H148"/>
      <c r="J148" s="28"/>
      <c r="K148" s="2"/>
      <c r="L148" s="12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</row>
    <row r="149" spans="1:32" s="11" customFormat="1">
      <c r="A149" s="20"/>
      <c r="B149" s="16"/>
      <c r="E149" s="27"/>
      <c r="F149" s="6"/>
      <c r="G149" s="32"/>
      <c r="H149" s="33"/>
      <c r="I149" s="29"/>
      <c r="J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spans="1:32">
      <c r="A150" s="20"/>
      <c r="G150" s="2"/>
      <c r="H150" s="2"/>
      <c r="I150" s="2"/>
      <c r="J150" s="10"/>
      <c r="K150" s="9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>
      <c r="A151" s="3"/>
      <c r="G151" s="19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"/>
    </row>
    <row r="152" spans="1:32">
      <c r="A152" s="3"/>
      <c r="C152" s="5"/>
      <c r="D152" s="11"/>
      <c r="G152" s="27"/>
      <c r="H152" s="1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>
      <c r="C153" s="5"/>
      <c r="D153" s="11"/>
      <c r="G153" s="27"/>
      <c r="H153" s="1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>
      <c r="A155" s="20"/>
      <c r="B155" s="5"/>
      <c r="C155" s="11"/>
      <c r="E155" s="12"/>
      <c r="F155" s="18"/>
      <c r="G155" s="19"/>
      <c r="H155" s="2"/>
      <c r="I155" s="2"/>
      <c r="J155" s="2"/>
      <c r="K155" s="9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>
      <c r="C156" s="11"/>
      <c r="E156" s="12"/>
      <c r="F156" s="18"/>
      <c r="G156" s="19"/>
      <c r="H156" s="2"/>
      <c r="I156" s="2"/>
      <c r="J156" s="2"/>
      <c r="K156" s="9"/>
      <c r="N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>
      <c r="A157" s="11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>
      <c r="A158" s="20"/>
      <c r="B158" s="5"/>
      <c r="G158" s="2"/>
      <c r="H158" s="2"/>
      <c r="I158" s="2"/>
      <c r="J158" s="10"/>
      <c r="K158" s="9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>
      <c r="A159" s="14"/>
      <c r="G159" s="2"/>
      <c r="H159" s="2"/>
      <c r="I159" s="2"/>
      <c r="J159" s="2"/>
      <c r="K159" s="9"/>
      <c r="N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>
      <c r="A160" s="11"/>
      <c r="G160" s="25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"/>
    </row>
    <row r="161" spans="1:32">
      <c r="A161" s="20"/>
      <c r="B161" s="5"/>
      <c r="C161" s="11"/>
      <c r="E161" s="27"/>
      <c r="F161" s="6"/>
      <c r="G161" s="28"/>
      <c r="I161" s="29"/>
      <c r="J161" s="2"/>
      <c r="K161" s="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>
      <c r="A162" s="22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>
      <c r="A163" s="20"/>
      <c r="C163" s="5"/>
      <c r="E163" s="12"/>
      <c r="F163" s="6"/>
      <c r="G163" s="19"/>
      <c r="H163" s="2"/>
      <c r="I163" s="2"/>
      <c r="J163" s="10"/>
      <c r="K163" s="9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>
      <c r="A164" s="14"/>
      <c r="C164" s="5"/>
      <c r="E164" s="12"/>
      <c r="F164" s="6"/>
      <c r="G164" s="19"/>
      <c r="H164" s="2"/>
      <c r="I164" s="2"/>
      <c r="K164" s="9"/>
      <c r="M164" s="1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>
      <c r="A165" s="14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>
      <c r="A166" s="20"/>
      <c r="E166" s="30"/>
      <c r="F166" s="6"/>
      <c r="G166" s="19"/>
      <c r="I166" s="2"/>
      <c r="J166" s="2"/>
      <c r="K166" s="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>
      <c r="A167" s="14"/>
      <c r="C167" s="5"/>
      <c r="E167" s="12"/>
      <c r="F167" s="6"/>
      <c r="G167" s="19"/>
      <c r="H167" s="2"/>
      <c r="I167" s="2"/>
      <c r="K167" s="9"/>
      <c r="M167" s="1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>
      <c r="A168" s="14"/>
      <c r="B168" s="16"/>
      <c r="E168" s="12"/>
      <c r="F168" s="6"/>
      <c r="G168" s="32"/>
      <c r="H168" s="2"/>
      <c r="I168" s="2"/>
      <c r="K168" s="10"/>
      <c r="L168" s="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>
      <c r="A169" s="3"/>
      <c r="E169" s="12"/>
      <c r="F169" s="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>
      <c r="A170" s="3"/>
      <c r="G170" s="19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"/>
    </row>
    <row r="171" spans="1:32">
      <c r="A171" s="3"/>
      <c r="C171" s="5"/>
      <c r="D171" s="11"/>
      <c r="G171" s="27"/>
      <c r="H171" s="1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>
      <c r="A173" s="20"/>
      <c r="B173" s="5"/>
      <c r="C173" s="11"/>
      <c r="E173" s="12"/>
      <c r="F173" s="18"/>
      <c r="G173" s="19"/>
      <c r="H173" s="2"/>
      <c r="I173" s="2"/>
      <c r="J173" s="2"/>
      <c r="K173" s="9"/>
      <c r="AF173" s="2"/>
    </row>
    <row r="174" spans="1:32">
      <c r="C174" s="11"/>
      <c r="E174" s="12"/>
      <c r="F174" s="18"/>
      <c r="G174" s="19"/>
      <c r="H174" s="2"/>
      <c r="I174" s="2"/>
      <c r="J174" s="2"/>
      <c r="K174" s="9"/>
      <c r="AF174" s="2"/>
    </row>
    <row r="175" spans="1:32">
      <c r="A175" s="11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>
      <c r="A176" s="20"/>
      <c r="B176" s="5"/>
      <c r="G176" s="2"/>
      <c r="H176" s="2"/>
      <c r="I176" s="2"/>
      <c r="J176" s="10"/>
      <c r="K176" s="9"/>
      <c r="AF176" s="2"/>
    </row>
    <row r="177" spans="1:32">
      <c r="A177" s="14"/>
      <c r="G177" s="2"/>
      <c r="H177" s="2"/>
      <c r="I177" s="2"/>
      <c r="J177" s="10"/>
      <c r="K177" s="9"/>
      <c r="AF177" s="2"/>
    </row>
    <row r="178" spans="1:32">
      <c r="A178" s="11"/>
      <c r="G178" s="25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"/>
    </row>
    <row r="179" spans="1:32">
      <c r="A179" s="20"/>
      <c r="B179" s="5"/>
      <c r="C179" s="11"/>
      <c r="E179" s="27"/>
      <c r="F179" s="6"/>
      <c r="G179" s="28"/>
      <c r="I179" s="29"/>
      <c r="J179" s="2"/>
      <c r="K179" s="9"/>
      <c r="AF179" s="2"/>
    </row>
    <row r="180" spans="1:32">
      <c r="A180" s="22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>
      <c r="A181" s="20"/>
      <c r="C181" s="5"/>
      <c r="E181" s="12"/>
      <c r="F181" s="6"/>
      <c r="G181" s="19"/>
      <c r="H181" s="2"/>
      <c r="I181" s="2"/>
      <c r="J181" s="10"/>
      <c r="K181" s="9"/>
      <c r="AF181" s="2"/>
    </row>
    <row r="182" spans="1:32">
      <c r="A182" s="14"/>
      <c r="C182" s="5"/>
      <c r="E182" s="12"/>
      <c r="F182" s="6"/>
      <c r="G182" s="19"/>
      <c r="H182" s="2"/>
      <c r="I182" s="2"/>
      <c r="K182" s="9"/>
      <c r="M182" s="10"/>
      <c r="AF182" s="2"/>
    </row>
    <row r="183" spans="1:32">
      <c r="A183" s="14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>
      <c r="A184" s="20"/>
      <c r="E184" s="30"/>
      <c r="F184" s="6"/>
      <c r="G184" s="19"/>
      <c r="I184" s="2"/>
      <c r="J184" s="2"/>
      <c r="K184" s="9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>
      <c r="A185" s="14"/>
      <c r="C185" s="5"/>
      <c r="E185" s="12"/>
      <c r="F185" s="6"/>
      <c r="G185" s="19"/>
      <c r="H185" s="2"/>
      <c r="I185" s="2"/>
      <c r="K185" s="9"/>
      <c r="M185" s="10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>
      <c r="A186" s="14"/>
      <c r="B186" s="16"/>
      <c r="E186" s="12"/>
      <c r="F186" s="6"/>
      <c r="G186" s="32"/>
      <c r="H186" s="2"/>
      <c r="I186" s="2"/>
      <c r="K186" s="10"/>
      <c r="L186" s="9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>
      <c r="A187" s="3"/>
      <c r="B187" s="16"/>
      <c r="E187" s="12"/>
      <c r="F187" s="6"/>
      <c r="G187" s="32"/>
      <c r="H187" s="2"/>
      <c r="I187" s="2"/>
      <c r="K187" s="10"/>
      <c r="L187" s="9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>
      <c r="A188" s="3"/>
      <c r="B188" s="30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2"/>
    </row>
    <row r="189" spans="1:32">
      <c r="A189" s="39"/>
      <c r="D189" s="5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2"/>
    </row>
    <row r="190" spans="1:32">
      <c r="A190" s="3"/>
      <c r="B190" s="11"/>
      <c r="C190" s="11"/>
      <c r="D190" s="5"/>
      <c r="E190" s="12"/>
      <c r="F190" s="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>
      <c r="B191" s="11"/>
      <c r="C191" s="11"/>
      <c r="E191" s="12"/>
      <c r="F191" s="18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>
      <c r="A192" s="20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>
      <c r="A193" s="20"/>
      <c r="B193" s="16"/>
      <c r="G193" s="32"/>
      <c r="H193" s="3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>
      <c r="A194" s="20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>
      <c r="A195" s="3"/>
      <c r="B195" s="11"/>
      <c r="C195" s="11"/>
      <c r="D195" s="11"/>
      <c r="E195" s="14"/>
      <c r="F195" s="31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>
      <c r="A196" s="20"/>
      <c r="B196" s="5"/>
      <c r="C196" s="11"/>
      <c r="E196" s="12"/>
      <c r="F196" s="18"/>
      <c r="G196" s="19"/>
      <c r="H196" s="2"/>
      <c r="I196" s="2"/>
      <c r="J196" s="2"/>
      <c r="K196" s="26"/>
      <c r="L196" s="2"/>
      <c r="M196" s="2"/>
      <c r="N196" s="2"/>
      <c r="O196" s="26"/>
      <c r="P196" s="2"/>
      <c r="Q196" s="2"/>
      <c r="R196" s="26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>
      <c r="A197" s="5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>
      <c r="A198" s="20"/>
      <c r="B198" s="5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>
      <c r="A199" s="16"/>
      <c r="E199" s="12"/>
      <c r="F199" s="6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>
      <c r="A200" s="20"/>
      <c r="C200" s="5"/>
      <c r="E200" s="12"/>
      <c r="F200" s="6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>
      <c r="A201" s="20"/>
      <c r="E201" s="12"/>
      <c r="F201" s="6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>
      <c r="A202" s="20"/>
      <c r="E202" s="30"/>
      <c r="F202" s="6"/>
      <c r="G202" s="19"/>
      <c r="I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>
      <c r="A203" s="20"/>
      <c r="B203" s="16"/>
      <c r="E203" s="30"/>
      <c r="F203" s="6"/>
      <c r="G203" s="32"/>
      <c r="H203" s="3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>
      <c r="A204" s="20"/>
      <c r="E204" s="12"/>
      <c r="F204" s="6"/>
      <c r="G204" s="2"/>
      <c r="H204" s="2"/>
      <c r="I204" s="21"/>
      <c r="J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s="11" customFormat="1">
      <c r="A205" s="3"/>
      <c r="D205"/>
      <c r="E205" s="27"/>
      <c r="F205" s="18"/>
      <c r="G205" s="19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8"/>
    </row>
    <row r="206" spans="1:32" s="11" customFormat="1">
      <c r="A206" s="3"/>
      <c r="B206" s="5"/>
      <c r="D206"/>
      <c r="E206"/>
      <c r="F206" s="27"/>
      <c r="H206" s="2"/>
      <c r="I206" s="2"/>
      <c r="J206" s="2"/>
      <c r="K206" s="2"/>
      <c r="L206" s="2"/>
      <c r="M206" s="2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</row>
    <row r="207" spans="1:32" s="11" customFormat="1">
      <c r="A207" s="3"/>
      <c r="E207" s="27"/>
      <c r="F207" s="6"/>
      <c r="G207" s="19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8"/>
    </row>
    <row r="208" spans="1:32" s="11" customFormat="1">
      <c r="A208" s="20"/>
      <c r="B208" s="5"/>
      <c r="D208"/>
      <c r="E208" s="27"/>
      <c r="F208" s="6"/>
      <c r="G208" s="2"/>
      <c r="I208" s="29"/>
      <c r="J208" s="28"/>
      <c r="K208"/>
      <c r="M208" s="28"/>
      <c r="N208" s="2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</row>
    <row r="209" spans="1:32" s="11" customFormat="1">
      <c r="A209" s="20"/>
      <c r="B209" s="14"/>
      <c r="C209"/>
      <c r="D209"/>
      <c r="E209"/>
      <c r="F209"/>
      <c r="G209" s="28"/>
      <c r="H209" s="2"/>
      <c r="I209" s="29"/>
      <c r="J209" s="28"/>
      <c r="L209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</row>
    <row r="210" spans="1:32" s="11" customFormat="1">
      <c r="E210" s="21"/>
      <c r="F210" s="6"/>
      <c r="G210" s="25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8"/>
    </row>
    <row r="211" spans="1:32" s="11" customFormat="1">
      <c r="A211" s="20"/>
      <c r="B211" s="5"/>
      <c r="D211"/>
      <c r="E211" s="27"/>
      <c r="F211" s="6"/>
      <c r="G211" s="28"/>
      <c r="H211"/>
      <c r="I211" s="29"/>
      <c r="K211" s="2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</row>
    <row r="212" spans="1:32" s="11" customFormat="1">
      <c r="A212" s="20"/>
      <c r="E212" s="27"/>
      <c r="F212" s="6"/>
      <c r="G212" s="25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8"/>
    </row>
    <row r="213" spans="1:32">
      <c r="A213" s="20"/>
      <c r="B213" s="5"/>
      <c r="E213" s="2"/>
      <c r="G213" s="2"/>
      <c r="I213" s="11"/>
      <c r="J213" s="28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>
      <c r="B214" s="12"/>
      <c r="E214" s="12"/>
      <c r="F214" s="6"/>
      <c r="G214" s="32"/>
      <c r="H214" s="3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>
      <c r="B215" s="11"/>
      <c r="C215" s="14"/>
      <c r="E215" s="12"/>
      <c r="F215" s="6"/>
      <c r="G215" s="32"/>
      <c r="H215" s="3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>
      <c r="B216" s="16"/>
      <c r="E216" s="12"/>
      <c r="F216" s="6"/>
      <c r="G216" s="32"/>
      <c r="H216" s="3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s="11" customFormat="1">
      <c r="A218" s="3"/>
      <c r="E218" s="27"/>
      <c r="F218" s="6"/>
      <c r="G218" s="19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8"/>
    </row>
    <row r="219" spans="1:32" s="11" customFormat="1">
      <c r="A219" s="3"/>
      <c r="B219" s="5"/>
      <c r="D219"/>
      <c r="E219"/>
      <c r="F219" s="27"/>
      <c r="H219" s="2"/>
      <c r="I219" s="2"/>
      <c r="J219" s="2"/>
      <c r="K219" s="2"/>
      <c r="L219" s="2"/>
      <c r="M219" s="2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</row>
    <row r="220" spans="1:32" s="11" customFormat="1">
      <c r="A220" s="3"/>
      <c r="E220" s="27"/>
      <c r="F220" s="6"/>
      <c r="G220" s="19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8"/>
    </row>
    <row r="221" spans="1:32" s="11" customFormat="1">
      <c r="A221" s="20"/>
      <c r="B221" s="5"/>
      <c r="D221"/>
      <c r="E221" s="27"/>
      <c r="F221" s="6"/>
      <c r="G221" s="28"/>
      <c r="H221" s="2"/>
      <c r="I221" s="29"/>
      <c r="J221" s="28"/>
      <c r="L221"/>
      <c r="M221" s="28"/>
      <c r="N221"/>
      <c r="O221" s="28"/>
      <c r="P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</row>
    <row r="222" spans="1:32" s="11" customFormat="1">
      <c r="A222" s="20"/>
      <c r="B222" s="14"/>
      <c r="C222"/>
      <c r="D222"/>
      <c r="E222"/>
      <c r="F222"/>
      <c r="G222" s="28"/>
      <c r="H222" s="2"/>
      <c r="I222" s="29"/>
      <c r="J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</row>
    <row r="223" spans="1:32" s="11" customFormat="1">
      <c r="A223" s="14"/>
      <c r="E223" s="27"/>
      <c r="F223" s="6"/>
      <c r="G223" s="25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8"/>
    </row>
    <row r="224" spans="1:32" s="11" customFormat="1">
      <c r="A224" s="20"/>
      <c r="B224" s="5"/>
      <c r="D224"/>
      <c r="E224" s="27"/>
      <c r="F224" s="6"/>
      <c r="G224" s="28"/>
      <c r="H224"/>
      <c r="I224" s="29"/>
      <c r="K224" s="2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</row>
    <row r="225" spans="1:32" s="11" customFormat="1">
      <c r="A225" s="20"/>
      <c r="E225" s="27"/>
      <c r="F225" s="6"/>
      <c r="G225" s="25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8"/>
    </row>
    <row r="226" spans="1:32" s="11" customFormat="1">
      <c r="A226" s="20"/>
      <c r="B226" s="5"/>
      <c r="D226"/>
      <c r="E226" s="2"/>
      <c r="F226"/>
      <c r="G226" s="2"/>
      <c r="H226"/>
      <c r="J226" s="28"/>
      <c r="K226" s="2"/>
      <c r="L226" s="12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</row>
    <row r="227" spans="1:32" s="11" customFormat="1">
      <c r="A227" s="20"/>
      <c r="B227" s="16"/>
      <c r="E227" s="27"/>
      <c r="F227" s="6"/>
      <c r="G227" s="32"/>
      <c r="H227" s="33"/>
      <c r="I227" s="29"/>
      <c r="J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</row>
    <row r="228" spans="1:32">
      <c r="A228" s="20"/>
      <c r="G228" s="2"/>
      <c r="H228" s="2"/>
      <c r="I228" s="2"/>
      <c r="J228" s="10"/>
      <c r="K228" s="9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>
      <c r="A229" s="3"/>
      <c r="G229" s="19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"/>
    </row>
    <row r="230" spans="1:32">
      <c r="A230" s="3"/>
      <c r="C230" s="5"/>
      <c r="D230" s="11"/>
      <c r="G230" s="27"/>
      <c r="H230" s="1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>
      <c r="C231" s="5"/>
      <c r="D231" s="11"/>
      <c r="G231" s="27"/>
      <c r="H231" s="1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>
      <c r="A233" s="20"/>
      <c r="B233" s="5"/>
      <c r="C233" s="11"/>
      <c r="E233" s="12"/>
      <c r="F233" s="18"/>
      <c r="G233" s="19"/>
      <c r="H233" s="2"/>
      <c r="I233" s="2"/>
      <c r="J233" s="2"/>
      <c r="K233" s="9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>
      <c r="C234" s="11"/>
      <c r="E234" s="12"/>
      <c r="F234" s="18"/>
      <c r="G234" s="19"/>
      <c r="H234" s="2"/>
      <c r="I234" s="2"/>
      <c r="J234" s="2"/>
      <c r="K234" s="9"/>
      <c r="N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>
      <c r="A235" s="11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>
      <c r="A236" s="20"/>
      <c r="B236" s="5"/>
      <c r="G236" s="2"/>
      <c r="H236" s="2"/>
      <c r="I236" s="2"/>
      <c r="J236" s="10"/>
      <c r="K236" s="9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>
      <c r="A237" s="14"/>
      <c r="G237" s="2"/>
      <c r="H237" s="2"/>
      <c r="I237" s="2"/>
      <c r="J237" s="2"/>
      <c r="K237" s="9"/>
      <c r="N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>
      <c r="A238" s="11"/>
      <c r="G238" s="25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"/>
    </row>
    <row r="239" spans="1:32">
      <c r="A239" s="20"/>
      <c r="B239" s="5"/>
      <c r="C239" s="11"/>
      <c r="E239" s="27"/>
      <c r="F239" s="6"/>
      <c r="G239" s="28"/>
      <c r="I239" s="29"/>
      <c r="J239" s="2"/>
      <c r="K239" s="9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>
      <c r="A240" s="22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>
      <c r="A241" s="20"/>
      <c r="C241" s="5"/>
      <c r="E241" s="12"/>
      <c r="F241" s="6"/>
      <c r="G241" s="19"/>
      <c r="H241" s="2"/>
      <c r="I241" s="2"/>
      <c r="J241" s="10"/>
      <c r="K241" s="9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>
      <c r="A242" s="14"/>
      <c r="C242" s="5"/>
      <c r="E242" s="12"/>
      <c r="F242" s="6"/>
      <c r="G242" s="19"/>
      <c r="H242" s="2"/>
      <c r="I242" s="2"/>
      <c r="K242" s="9"/>
      <c r="M242" s="10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>
      <c r="A243" s="14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>
      <c r="A244" s="20"/>
      <c r="E244" s="30"/>
      <c r="F244" s="6"/>
      <c r="G244" s="19"/>
      <c r="I244" s="2"/>
      <c r="J244" s="2"/>
      <c r="K244" s="9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>
      <c r="A245" s="14"/>
      <c r="C245" s="5"/>
      <c r="E245" s="12"/>
      <c r="F245" s="6"/>
      <c r="G245" s="19"/>
      <c r="H245" s="2"/>
      <c r="I245" s="2"/>
      <c r="K245" s="9"/>
      <c r="M245" s="10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>
      <c r="A246" s="14"/>
      <c r="B246" s="16"/>
      <c r="E246" s="12"/>
      <c r="F246" s="6"/>
      <c r="G246" s="32"/>
      <c r="H246" s="2"/>
      <c r="I246" s="2"/>
      <c r="K246" s="10"/>
      <c r="L246" s="9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>
      <c r="A247" s="3"/>
      <c r="E247" s="12"/>
      <c r="F247" s="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>
      <c r="A248" s="3"/>
      <c r="G248" s="19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"/>
    </row>
    <row r="249" spans="1:32">
      <c r="A249" s="3"/>
      <c r="C249" s="5"/>
      <c r="D249" s="11"/>
      <c r="G249" s="27"/>
      <c r="H249" s="1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>
      <c r="A251" s="20"/>
      <c r="B251" s="5"/>
      <c r="C251" s="11"/>
      <c r="E251" s="12"/>
      <c r="F251" s="18"/>
      <c r="G251" s="19"/>
      <c r="H251" s="2"/>
      <c r="I251" s="2"/>
      <c r="J251" s="2"/>
      <c r="K251" s="9"/>
      <c r="AF251" s="2"/>
    </row>
    <row r="252" spans="1:32">
      <c r="C252" s="11"/>
      <c r="E252" s="12"/>
      <c r="F252" s="18"/>
      <c r="G252" s="19"/>
      <c r="H252" s="2"/>
      <c r="I252" s="2"/>
      <c r="J252" s="2"/>
      <c r="K252" s="9"/>
      <c r="AF252" s="2"/>
    </row>
    <row r="253" spans="1:32">
      <c r="A253" s="11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>
      <c r="A254" s="20"/>
      <c r="B254" s="5"/>
      <c r="G254" s="2"/>
      <c r="H254" s="2"/>
      <c r="I254" s="2"/>
      <c r="J254" s="10"/>
      <c r="K254" s="9"/>
      <c r="AF254" s="2"/>
    </row>
    <row r="255" spans="1:32">
      <c r="A255" s="14"/>
      <c r="G255" s="2"/>
      <c r="H255" s="2"/>
      <c r="I255" s="2"/>
      <c r="J255" s="10"/>
      <c r="K255" s="9"/>
      <c r="AF255" s="2"/>
    </row>
    <row r="256" spans="1:32">
      <c r="A256" s="11"/>
      <c r="G256" s="25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"/>
    </row>
    <row r="257" spans="1:32">
      <c r="A257" s="20"/>
      <c r="B257" s="5"/>
      <c r="C257" s="11"/>
      <c r="E257" s="27"/>
      <c r="F257" s="6"/>
      <c r="G257" s="28"/>
      <c r="I257" s="29"/>
      <c r="J257" s="2"/>
      <c r="K257" s="9"/>
      <c r="AF257" s="2"/>
    </row>
    <row r="258" spans="1:32">
      <c r="A258" s="22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>
      <c r="A259" s="20"/>
      <c r="C259" s="5"/>
      <c r="E259" s="12"/>
      <c r="F259" s="6"/>
      <c r="G259" s="19"/>
      <c r="H259" s="2"/>
      <c r="I259" s="2"/>
      <c r="J259" s="10"/>
      <c r="K259" s="9"/>
      <c r="AF259" s="2"/>
    </row>
    <row r="260" spans="1:32">
      <c r="A260" s="14"/>
      <c r="C260" s="5"/>
      <c r="E260" s="12"/>
      <c r="F260" s="6"/>
      <c r="G260" s="19"/>
      <c r="H260" s="2"/>
      <c r="I260" s="2"/>
      <c r="K260" s="9"/>
      <c r="M260" s="10"/>
      <c r="AF260" s="2"/>
    </row>
    <row r="261" spans="1:32">
      <c r="A261" s="14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>
      <c r="A262" s="20"/>
      <c r="E262" s="30"/>
      <c r="F262" s="6"/>
      <c r="G262" s="19"/>
      <c r="I262" s="2"/>
      <c r="J262" s="2"/>
      <c r="K262" s="9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>
      <c r="A263" s="14"/>
      <c r="C263" s="5"/>
      <c r="E263" s="12"/>
      <c r="F263" s="6"/>
      <c r="G263" s="19"/>
      <c r="H263" s="2"/>
      <c r="I263" s="2"/>
      <c r="K263" s="9"/>
      <c r="M263" s="10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>
      <c r="A264" s="14"/>
      <c r="B264" s="16"/>
      <c r="E264" s="12"/>
      <c r="F264" s="6"/>
      <c r="G264" s="32"/>
      <c r="H264" s="2"/>
      <c r="I264" s="2"/>
      <c r="K264" s="10"/>
      <c r="L264" s="9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>
      <c r="A265" s="3"/>
      <c r="B265" s="16"/>
      <c r="E265" s="12"/>
      <c r="F265" s="6"/>
      <c r="G265" s="32"/>
      <c r="H265" s="2"/>
      <c r="I265" s="2"/>
      <c r="K265" s="10"/>
      <c r="L265" s="9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>
      <c r="A266" s="3"/>
      <c r="B266" s="30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2"/>
    </row>
    <row r="267" spans="1:32">
      <c r="A267" s="39"/>
      <c r="D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2"/>
    </row>
    <row r="268" spans="1:32">
      <c r="A268" s="3"/>
      <c r="B268" s="11"/>
      <c r="C268" s="11"/>
      <c r="D268" s="5"/>
      <c r="E268" s="12"/>
      <c r="F268" s="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>
      <c r="B269" s="11"/>
      <c r="C269" s="11"/>
      <c r="E269" s="12"/>
      <c r="F269" s="18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>
      <c r="A270" s="20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>
      <c r="A271" s="20"/>
      <c r="B271" s="16"/>
      <c r="G271" s="32"/>
      <c r="H271" s="3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>
      <c r="A272" s="20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>
      <c r="A273" s="3"/>
      <c r="B273" s="11"/>
      <c r="C273" s="11"/>
      <c r="D273" s="11"/>
      <c r="E273" s="14"/>
      <c r="F273" s="31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>
      <c r="A274" s="20"/>
      <c r="B274" s="5"/>
      <c r="C274" s="11"/>
      <c r="E274" s="12"/>
      <c r="F274" s="18"/>
      <c r="G274" s="19"/>
      <c r="H274" s="2"/>
      <c r="I274" s="2"/>
      <c r="J274" s="2"/>
      <c r="K274" s="26"/>
      <c r="L274" s="2"/>
      <c r="M274" s="2"/>
      <c r="N274" s="2"/>
      <c r="O274" s="26"/>
      <c r="P274" s="2"/>
      <c r="Q274" s="2"/>
      <c r="R274" s="26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>
      <c r="A275" s="5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>
      <c r="A276" s="20"/>
      <c r="B276" s="5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>
      <c r="A277" s="16"/>
      <c r="E277" s="12"/>
      <c r="F277" s="6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>
      <c r="A278" s="20"/>
      <c r="C278" s="5"/>
      <c r="E278" s="12"/>
      <c r="F278" s="6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>
      <c r="A279" s="20"/>
      <c r="E279" s="12"/>
      <c r="F279" s="6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>
      <c r="A280" s="20"/>
      <c r="E280" s="30"/>
      <c r="F280" s="6"/>
      <c r="G280" s="19"/>
      <c r="I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>
      <c r="A281" s="20"/>
      <c r="B281" s="16"/>
      <c r="E281" s="30"/>
      <c r="F281" s="6"/>
      <c r="G281" s="32"/>
      <c r="H281" s="3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>
      <c r="A282" s="20"/>
      <c r="E282" s="12"/>
      <c r="F282" s="6"/>
      <c r="G282" s="2"/>
      <c r="H282" s="2"/>
      <c r="I282" s="21"/>
      <c r="J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>
      <c r="A283" s="3"/>
      <c r="B283" s="11"/>
      <c r="C283" s="11"/>
      <c r="E283" s="27"/>
      <c r="F283" s="18"/>
      <c r="G283" s="19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"/>
    </row>
    <row r="284" spans="1:32">
      <c r="A284" s="3"/>
      <c r="B284" s="5"/>
      <c r="C284" s="11"/>
      <c r="F284" s="27"/>
      <c r="G284" s="11"/>
      <c r="H284" s="2"/>
      <c r="I284" s="2"/>
      <c r="J284" s="2"/>
      <c r="K284" s="2"/>
      <c r="L284" s="2"/>
      <c r="M284" s="2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"/>
    </row>
    <row r="285" spans="1:32">
      <c r="A285" s="3"/>
      <c r="B285" s="11"/>
      <c r="C285" s="11"/>
      <c r="D285" s="11"/>
      <c r="E285" s="27"/>
      <c r="F285" s="6"/>
      <c r="G285" s="19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"/>
    </row>
    <row r="286" spans="1:32">
      <c r="A286" s="20"/>
      <c r="B286" s="5"/>
      <c r="C286" s="11"/>
      <c r="E286" s="27"/>
      <c r="F286" s="6"/>
      <c r="G286" s="2"/>
      <c r="H286" s="11"/>
      <c r="I286" s="29"/>
      <c r="J286" s="28"/>
      <c r="L286" s="11"/>
      <c r="M286" s="28"/>
      <c r="N286" s="2"/>
      <c r="O286" s="11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"/>
    </row>
    <row r="287" spans="1:32">
      <c r="A287" s="20"/>
      <c r="B287" s="14"/>
      <c r="G287" s="28"/>
      <c r="H287" s="2"/>
      <c r="I287" s="29"/>
      <c r="J287" s="28"/>
      <c r="K287" s="11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"/>
    </row>
    <row r="288" spans="1:32">
      <c r="A288" s="11"/>
      <c r="B288" s="11"/>
      <c r="C288" s="11"/>
      <c r="D288" s="11"/>
      <c r="E288" s="21"/>
      <c r="F288" s="6"/>
      <c r="G288" s="25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"/>
    </row>
    <row r="289" spans="1:32">
      <c r="A289" s="20"/>
      <c r="B289" s="5"/>
      <c r="C289" s="11"/>
      <c r="E289" s="27"/>
      <c r="F289" s="6"/>
      <c r="G289" s="28"/>
      <c r="I289" s="29"/>
      <c r="J289" s="11"/>
      <c r="K289" s="2"/>
      <c r="L289" s="11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"/>
    </row>
    <row r="290" spans="1:32">
      <c r="A290" s="20"/>
      <c r="B290" s="11"/>
      <c r="C290" s="11"/>
      <c r="D290" s="11"/>
      <c r="E290" s="27"/>
      <c r="F290" s="6"/>
      <c r="G290" s="25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"/>
    </row>
    <row r="291" spans="1:32">
      <c r="A291" s="20"/>
      <c r="B291" s="5"/>
      <c r="E291" s="2"/>
      <c r="G291" s="2"/>
      <c r="I291" s="11"/>
      <c r="J291" s="28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>
      <c r="B292" s="12"/>
      <c r="E292" s="12"/>
      <c r="F292" s="6"/>
      <c r="G292" s="32"/>
      <c r="H292" s="3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>
      <c r="B293" s="11"/>
      <c r="C293" s="14"/>
      <c r="E293" s="12"/>
      <c r="F293" s="6"/>
      <c r="G293" s="32"/>
      <c r="H293" s="3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>
      <c r="B294" s="16"/>
      <c r="E294" s="12"/>
      <c r="F294" s="6"/>
      <c r="G294" s="32"/>
      <c r="H294" s="3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>
      <c r="A296" s="3"/>
      <c r="B296" s="11"/>
      <c r="C296" s="11"/>
      <c r="D296" s="11"/>
      <c r="E296" s="27"/>
      <c r="F296" s="6"/>
      <c r="G296" s="19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"/>
    </row>
    <row r="297" spans="1:32">
      <c r="A297" s="3"/>
      <c r="B297" s="5"/>
      <c r="C297" s="11"/>
      <c r="F297" s="27"/>
      <c r="G297" s="11"/>
      <c r="H297" s="2"/>
      <c r="I297" s="2"/>
      <c r="J297" s="2"/>
      <c r="K297" s="2"/>
      <c r="L297" s="2"/>
      <c r="M297" s="2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"/>
    </row>
    <row r="298" spans="1:32">
      <c r="A298" s="3"/>
      <c r="B298" s="11"/>
      <c r="C298" s="11"/>
      <c r="D298" s="11"/>
      <c r="E298" s="27"/>
      <c r="F298" s="6"/>
      <c r="G298" s="19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"/>
    </row>
    <row r="299" spans="1:32">
      <c r="A299" s="20"/>
      <c r="B299" s="5"/>
      <c r="C299" s="11"/>
      <c r="E299" s="27"/>
      <c r="F299" s="6"/>
      <c r="G299" s="28"/>
      <c r="H299" s="2"/>
      <c r="I299" s="29"/>
      <c r="J299" s="28"/>
      <c r="K299" s="11"/>
      <c r="M299" s="28"/>
      <c r="O299" s="28"/>
      <c r="P299" s="28"/>
      <c r="Q299" s="11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"/>
    </row>
    <row r="300" spans="1:32">
      <c r="A300" s="20"/>
      <c r="B300" s="14"/>
      <c r="G300" s="28"/>
      <c r="H300" s="2"/>
      <c r="I300" s="29"/>
      <c r="J300" s="28"/>
      <c r="K300" s="11"/>
      <c r="L300" s="11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"/>
    </row>
    <row r="301" spans="1:32">
      <c r="A301" s="14"/>
      <c r="B301" s="11"/>
      <c r="C301" s="11"/>
      <c r="D301" s="11"/>
      <c r="E301" s="27"/>
      <c r="F301" s="6"/>
      <c r="G301" s="25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"/>
    </row>
    <row r="302" spans="1:32">
      <c r="A302" s="20"/>
      <c r="B302" s="5"/>
      <c r="C302" s="11"/>
      <c r="E302" s="27"/>
      <c r="F302" s="6"/>
      <c r="G302" s="28"/>
      <c r="I302" s="29"/>
      <c r="J302" s="11"/>
      <c r="K302" s="2"/>
      <c r="L302" s="11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"/>
    </row>
    <row r="303" spans="1:32">
      <c r="A303" s="20"/>
      <c r="B303" s="11"/>
      <c r="C303" s="11"/>
      <c r="D303" s="11"/>
      <c r="E303" s="27"/>
      <c r="F303" s="6"/>
      <c r="G303" s="25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"/>
    </row>
    <row r="304" spans="1:32">
      <c r="A304" s="20"/>
      <c r="B304" s="5"/>
      <c r="C304" s="11"/>
      <c r="E304" s="2"/>
      <c r="G304" s="2"/>
      <c r="I304" s="11"/>
      <c r="J304" s="28"/>
      <c r="K304" s="2"/>
      <c r="L304" s="12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"/>
    </row>
    <row r="305" spans="1:32">
      <c r="A305" s="20"/>
      <c r="B305" s="16"/>
      <c r="C305" s="11"/>
      <c r="D305" s="11"/>
      <c r="E305" s="27"/>
      <c r="F305" s="6"/>
      <c r="G305" s="32"/>
      <c r="H305" s="33"/>
      <c r="I305" s="29"/>
      <c r="J305" s="28"/>
      <c r="K305" s="11"/>
      <c r="L305" s="11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"/>
    </row>
    <row r="306" spans="1:32">
      <c r="A306" s="20"/>
      <c r="G306" s="2"/>
      <c r="H306" s="2"/>
      <c r="I306" s="2"/>
      <c r="J306" s="10"/>
      <c r="K306" s="9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>
      <c r="A307" s="3"/>
      <c r="G307" s="19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"/>
    </row>
    <row r="308" spans="1:32">
      <c r="A308" s="3"/>
      <c r="C308" s="5"/>
      <c r="D308" s="11"/>
      <c r="G308" s="27"/>
      <c r="H308" s="1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>
      <c r="C309" s="5"/>
      <c r="D309" s="11"/>
      <c r="G309" s="27"/>
      <c r="H309" s="1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>
      <c r="A311" s="20"/>
      <c r="B311" s="5"/>
      <c r="C311" s="11"/>
      <c r="E311" s="12"/>
      <c r="F311" s="18"/>
      <c r="G311" s="19"/>
      <c r="H311" s="2"/>
      <c r="I311" s="2"/>
      <c r="J311" s="2"/>
      <c r="K311" s="9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>
      <c r="C312" s="11"/>
      <c r="E312" s="12"/>
      <c r="F312" s="18"/>
      <c r="G312" s="19"/>
      <c r="H312" s="2"/>
      <c r="I312" s="2"/>
      <c r="J312" s="2"/>
      <c r="K312" s="9"/>
      <c r="N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>
      <c r="A313" s="11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>
      <c r="A314" s="20"/>
      <c r="B314" s="5"/>
      <c r="G314" s="2"/>
      <c r="H314" s="2"/>
      <c r="I314" s="2"/>
      <c r="J314" s="10"/>
      <c r="K314" s="9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>
      <c r="A315" s="14"/>
      <c r="G315" s="2"/>
      <c r="H315" s="2"/>
      <c r="I315" s="2"/>
      <c r="J315" s="2"/>
      <c r="K315" s="9"/>
      <c r="N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>
      <c r="A316" s="11"/>
      <c r="G316" s="25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"/>
    </row>
    <row r="317" spans="1:32">
      <c r="A317" s="20"/>
      <c r="B317" s="5"/>
      <c r="C317" s="11"/>
      <c r="E317" s="27"/>
      <c r="F317" s="6"/>
      <c r="G317" s="28"/>
      <c r="I317" s="29"/>
      <c r="J317" s="2"/>
      <c r="K317" s="9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>
      <c r="A318" s="22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>
      <c r="A319" s="20"/>
      <c r="C319" s="5"/>
      <c r="E319" s="12"/>
      <c r="F319" s="6"/>
      <c r="G319" s="19"/>
      <c r="H319" s="2"/>
      <c r="I319" s="2"/>
      <c r="J319" s="10"/>
      <c r="K319" s="9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>
      <c r="A320" s="14"/>
      <c r="C320" s="5"/>
      <c r="E320" s="12"/>
      <c r="F320" s="6"/>
      <c r="G320" s="19"/>
      <c r="H320" s="2"/>
      <c r="I320" s="2"/>
      <c r="K320" s="9"/>
      <c r="M320" s="1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>
      <c r="A321" s="14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>
      <c r="A322" s="20"/>
      <c r="E322" s="30"/>
      <c r="F322" s="6"/>
      <c r="G322" s="19"/>
      <c r="I322" s="2"/>
      <c r="J322" s="2"/>
      <c r="K322" s="9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>
      <c r="A323" s="14"/>
      <c r="C323" s="5"/>
      <c r="E323" s="12"/>
      <c r="F323" s="6"/>
      <c r="G323" s="19"/>
      <c r="H323" s="2"/>
      <c r="I323" s="2"/>
      <c r="K323" s="9"/>
      <c r="M323" s="1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>
      <c r="A324" s="14"/>
      <c r="B324" s="16"/>
      <c r="E324" s="12"/>
      <c r="F324" s="6"/>
      <c r="G324" s="32"/>
      <c r="H324" s="2"/>
      <c r="I324" s="2"/>
      <c r="K324" s="10"/>
      <c r="L324" s="9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>
      <c r="A325" s="3"/>
      <c r="E325" s="12"/>
      <c r="F325" s="6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>
      <c r="A326" s="3"/>
      <c r="G326" s="19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"/>
    </row>
    <row r="327" spans="1:32">
      <c r="A327" s="3"/>
      <c r="C327" s="5"/>
      <c r="D327" s="11"/>
      <c r="G327" s="27"/>
      <c r="H327" s="11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>
      <c r="A329" s="20"/>
      <c r="B329" s="5"/>
      <c r="C329" s="11"/>
      <c r="E329" s="12"/>
      <c r="F329" s="18"/>
      <c r="G329" s="19"/>
      <c r="H329" s="2"/>
      <c r="I329" s="2"/>
      <c r="J329" s="2"/>
      <c r="K329" s="9"/>
      <c r="AF329" s="2"/>
    </row>
    <row r="330" spans="1:32">
      <c r="C330" s="11"/>
      <c r="E330" s="12"/>
      <c r="F330" s="18"/>
      <c r="G330" s="19"/>
      <c r="H330" s="2"/>
      <c r="I330" s="2"/>
      <c r="J330" s="2"/>
      <c r="K330" s="9"/>
      <c r="AF330" s="2"/>
    </row>
    <row r="331" spans="1:32">
      <c r="A331" s="11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>
      <c r="A332" s="20"/>
      <c r="B332" s="5"/>
      <c r="G332" s="2"/>
      <c r="H332" s="2"/>
      <c r="I332" s="2"/>
      <c r="J332" s="10"/>
      <c r="K332" s="9"/>
      <c r="AF332" s="2"/>
    </row>
    <row r="333" spans="1:32">
      <c r="A333" s="14"/>
      <c r="G333" s="2"/>
      <c r="H333" s="2"/>
      <c r="I333" s="2"/>
      <c r="J333" s="10"/>
      <c r="K333" s="9"/>
      <c r="AF333" s="2"/>
    </row>
    <row r="334" spans="1:32">
      <c r="A334" s="11"/>
      <c r="G334" s="25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"/>
    </row>
    <row r="335" spans="1:32">
      <c r="A335" s="20"/>
      <c r="B335" s="5"/>
      <c r="C335" s="11"/>
      <c r="E335" s="27"/>
      <c r="F335" s="6"/>
      <c r="G335" s="28"/>
      <c r="I335" s="29"/>
      <c r="J335" s="2"/>
      <c r="K335" s="9"/>
      <c r="AF335" s="2"/>
    </row>
    <row r="336" spans="1:32">
      <c r="A336" s="22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>
      <c r="A337" s="20"/>
      <c r="C337" s="5"/>
      <c r="E337" s="12"/>
      <c r="F337" s="6"/>
      <c r="G337" s="19"/>
      <c r="H337" s="2"/>
      <c r="I337" s="2"/>
      <c r="J337" s="10"/>
      <c r="K337" s="9"/>
      <c r="AF337" s="2"/>
    </row>
    <row r="338" spans="1:32">
      <c r="A338" s="14"/>
      <c r="C338" s="5"/>
      <c r="E338" s="12"/>
      <c r="F338" s="6"/>
      <c r="G338" s="19"/>
      <c r="H338" s="2"/>
      <c r="I338" s="2"/>
      <c r="K338" s="9"/>
      <c r="M338" s="10"/>
      <c r="AF338" s="2"/>
    </row>
    <row r="339" spans="1:32">
      <c r="A339" s="14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>
      <c r="A340" s="20"/>
      <c r="E340" s="30"/>
      <c r="F340" s="6"/>
      <c r="G340" s="19"/>
      <c r="I340" s="2"/>
      <c r="J340" s="2"/>
      <c r="K340" s="9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>
      <c r="A341" s="14"/>
      <c r="C341" s="5"/>
      <c r="E341" s="12"/>
      <c r="F341" s="6"/>
      <c r="G341" s="19"/>
      <c r="H341" s="2"/>
      <c r="I341" s="2"/>
      <c r="K341" s="9"/>
      <c r="M341" s="1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>
      <c r="A342" s="14"/>
      <c r="B342" s="16"/>
      <c r="E342" s="12"/>
      <c r="F342" s="6"/>
      <c r="G342" s="32"/>
      <c r="H342" s="2"/>
      <c r="I342" s="2"/>
      <c r="K342" s="10"/>
      <c r="L342" s="9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>
      <c r="A343" s="3"/>
      <c r="B343" s="16"/>
      <c r="E343" s="12"/>
      <c r="F343" s="6"/>
      <c r="G343" s="32"/>
      <c r="H343" s="2"/>
      <c r="I343" s="2"/>
      <c r="K343" s="10"/>
      <c r="L343" s="9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>
      <c r="A344" s="3"/>
      <c r="B344" s="30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2"/>
    </row>
    <row r="345" spans="1:32">
      <c r="A345" s="39"/>
      <c r="D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2"/>
    </row>
    <row r="346" spans="1:32">
      <c r="A346" s="3"/>
      <c r="B346" s="11"/>
      <c r="C346" s="11"/>
      <c r="D346" s="5"/>
      <c r="E346" s="12"/>
      <c r="F346" s="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>
      <c r="B347" s="11"/>
      <c r="C347" s="11"/>
      <c r="E347" s="12"/>
      <c r="F347" s="18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>
      <c r="A348" s="20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>
      <c r="A349" s="20"/>
      <c r="B349" s="16"/>
      <c r="G349" s="32"/>
      <c r="H349" s="3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>
      <c r="A350" s="20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>
      <c r="A351" s="3"/>
      <c r="B351" s="11"/>
      <c r="C351" s="11"/>
      <c r="D351" s="11"/>
      <c r="E351" s="14"/>
      <c r="F351" s="31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>
      <c r="A352" s="20"/>
      <c r="B352" s="5"/>
      <c r="C352" s="11"/>
      <c r="E352" s="12"/>
      <c r="F352" s="18"/>
      <c r="G352" s="19"/>
      <c r="H352" s="2"/>
      <c r="I352" s="2"/>
      <c r="J352" s="2"/>
      <c r="K352" s="26"/>
      <c r="L352" s="2"/>
      <c r="M352" s="2"/>
      <c r="N352" s="2"/>
      <c r="O352" s="26"/>
      <c r="P352" s="2"/>
      <c r="Q352" s="2"/>
      <c r="R352" s="26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>
      <c r="A353" s="5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>
      <c r="A354" s="20"/>
      <c r="B354" s="5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>
      <c r="A355" s="16"/>
      <c r="E355" s="12"/>
      <c r="F355" s="6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>
      <c r="A356" s="20"/>
      <c r="C356" s="5"/>
      <c r="E356" s="12"/>
      <c r="F356" s="6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>
      <c r="A357" s="20"/>
      <c r="E357" s="12"/>
      <c r="F357" s="6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>
      <c r="A358" s="20"/>
      <c r="E358" s="30"/>
      <c r="F358" s="6"/>
      <c r="G358" s="19"/>
      <c r="I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>
      <c r="A359" s="20"/>
      <c r="B359" s="16"/>
      <c r="E359" s="30"/>
      <c r="F359" s="6"/>
      <c r="G359" s="32"/>
      <c r="H359" s="3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>
      <c r="A360" s="20"/>
      <c r="E360" s="12"/>
      <c r="F360" s="6"/>
      <c r="G360" s="2"/>
      <c r="H360" s="2"/>
      <c r="I360" s="21"/>
      <c r="J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>
      <c r="A361" s="3"/>
      <c r="B361" s="11"/>
      <c r="C361" s="11"/>
      <c r="E361" s="27"/>
      <c r="F361" s="18"/>
      <c r="G361" s="19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"/>
    </row>
    <row r="362" spans="1:32">
      <c r="A362" s="3"/>
      <c r="B362" s="5"/>
      <c r="C362" s="11"/>
      <c r="F362" s="27"/>
      <c r="G362" s="11"/>
      <c r="H362" s="2"/>
      <c r="I362" s="2"/>
      <c r="J362" s="2"/>
      <c r="K362" s="2"/>
      <c r="L362" s="2"/>
      <c r="M362" s="2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"/>
    </row>
    <row r="363" spans="1:32">
      <c r="A363" s="3"/>
      <c r="B363" s="11"/>
      <c r="C363" s="11"/>
      <c r="D363" s="11"/>
      <c r="E363" s="27"/>
      <c r="F363" s="6"/>
      <c r="G363" s="19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"/>
    </row>
    <row r="364" spans="1:32">
      <c r="A364" s="20"/>
      <c r="B364" s="5"/>
      <c r="C364" s="11"/>
      <c r="E364" s="27"/>
      <c r="F364" s="6"/>
      <c r="G364" s="2"/>
      <c r="H364" s="11"/>
      <c r="I364" s="29"/>
      <c r="J364" s="28"/>
      <c r="L364" s="11"/>
      <c r="M364" s="28"/>
      <c r="N364" s="2"/>
      <c r="O364" s="11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"/>
    </row>
    <row r="365" spans="1:32">
      <c r="A365" s="20"/>
      <c r="B365" s="14"/>
      <c r="G365" s="28"/>
      <c r="H365" s="2"/>
      <c r="I365" s="29"/>
      <c r="J365" s="28"/>
      <c r="K365" s="11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"/>
    </row>
    <row r="366" spans="1:32">
      <c r="A366" s="11"/>
      <c r="B366" s="11"/>
      <c r="C366" s="11"/>
      <c r="D366" s="11"/>
      <c r="E366" s="21"/>
      <c r="F366" s="6"/>
      <c r="G366" s="25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"/>
    </row>
    <row r="367" spans="1:32">
      <c r="A367" s="20"/>
      <c r="B367" s="5"/>
      <c r="C367" s="11"/>
      <c r="E367" s="27"/>
      <c r="F367" s="6"/>
      <c r="G367" s="28"/>
      <c r="I367" s="29"/>
      <c r="J367" s="11"/>
      <c r="K367" s="2"/>
      <c r="L367" s="11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"/>
    </row>
    <row r="368" spans="1:32">
      <c r="A368" s="20"/>
      <c r="B368" s="11"/>
      <c r="C368" s="11"/>
      <c r="D368" s="11"/>
      <c r="E368" s="27"/>
      <c r="F368" s="6"/>
      <c r="G368" s="25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"/>
    </row>
    <row r="369" spans="1:32">
      <c r="A369" s="20"/>
      <c r="B369" s="5"/>
      <c r="E369" s="2"/>
      <c r="G369" s="2"/>
      <c r="I369" s="11"/>
      <c r="J369" s="28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>
      <c r="B370" s="12"/>
      <c r="E370" s="12"/>
      <c r="F370" s="6"/>
      <c r="G370" s="32"/>
      <c r="H370" s="3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>
      <c r="B371" s="11"/>
      <c r="C371" s="14"/>
      <c r="E371" s="12"/>
      <c r="F371" s="6"/>
      <c r="G371" s="32"/>
      <c r="H371" s="3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>
      <c r="B372" s="16"/>
      <c r="E372" s="12"/>
      <c r="F372" s="6"/>
      <c r="G372" s="32"/>
      <c r="H372" s="3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>
      <c r="A374" s="3"/>
      <c r="B374" s="11"/>
      <c r="C374" s="11"/>
      <c r="D374" s="11"/>
      <c r="E374" s="27"/>
      <c r="F374" s="6"/>
      <c r="G374" s="19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"/>
    </row>
    <row r="375" spans="1:32">
      <c r="A375" s="3"/>
      <c r="B375" s="5"/>
      <c r="C375" s="11"/>
      <c r="F375" s="27"/>
      <c r="G375" s="11"/>
      <c r="H375" s="2"/>
      <c r="I375" s="2"/>
      <c r="J375" s="2"/>
      <c r="K375" s="2"/>
      <c r="L375" s="2"/>
      <c r="M375" s="2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"/>
    </row>
    <row r="376" spans="1:32">
      <c r="A376" s="3"/>
      <c r="B376" s="11"/>
      <c r="C376" s="11"/>
      <c r="D376" s="11"/>
      <c r="E376" s="27"/>
      <c r="F376" s="6"/>
      <c r="G376" s="19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"/>
    </row>
    <row r="377" spans="1:32">
      <c r="A377" s="20"/>
      <c r="B377" s="5"/>
      <c r="C377" s="11"/>
      <c r="E377" s="27"/>
      <c r="F377" s="6"/>
      <c r="G377" s="28"/>
      <c r="H377" s="2"/>
      <c r="I377" s="29"/>
      <c r="J377" s="28"/>
      <c r="K377" s="11"/>
      <c r="M377" s="28"/>
      <c r="O377" s="28"/>
      <c r="P377" s="28"/>
      <c r="Q377" s="11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"/>
    </row>
    <row r="378" spans="1:32">
      <c r="A378" s="20"/>
      <c r="B378" s="14"/>
      <c r="G378" s="28"/>
      <c r="H378" s="2"/>
      <c r="I378" s="29"/>
      <c r="J378" s="28"/>
      <c r="K378" s="11"/>
      <c r="L378" s="11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"/>
    </row>
    <row r="379" spans="1:32">
      <c r="A379" s="14"/>
      <c r="B379" s="11"/>
      <c r="C379" s="11"/>
      <c r="D379" s="11"/>
      <c r="E379" s="27"/>
      <c r="F379" s="6"/>
      <c r="G379" s="25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"/>
    </row>
    <row r="380" spans="1:32">
      <c r="A380" s="20"/>
      <c r="B380" s="5"/>
      <c r="C380" s="11"/>
      <c r="E380" s="27"/>
      <c r="F380" s="6"/>
      <c r="G380" s="28"/>
      <c r="I380" s="29"/>
      <c r="J380" s="11"/>
      <c r="K380" s="2"/>
      <c r="L380" s="11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"/>
    </row>
    <row r="381" spans="1:32">
      <c r="A381" s="20"/>
      <c r="B381" s="11"/>
      <c r="C381" s="11"/>
      <c r="D381" s="11"/>
      <c r="E381" s="27"/>
      <c r="F381" s="6"/>
      <c r="G381" s="25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"/>
    </row>
    <row r="382" spans="1:32">
      <c r="A382" s="20"/>
      <c r="B382" s="5"/>
      <c r="C382" s="11"/>
      <c r="E382" s="2"/>
      <c r="G382" s="2"/>
      <c r="I382" s="11"/>
      <c r="J382" s="28"/>
      <c r="K382" s="2"/>
      <c r="L382" s="12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"/>
    </row>
    <row r="383" spans="1:32">
      <c r="A383" s="20"/>
      <c r="B383" s="16"/>
      <c r="C383" s="11"/>
      <c r="D383" s="11"/>
      <c r="E383" s="27"/>
      <c r="F383" s="6"/>
      <c r="G383" s="32"/>
      <c r="H383" s="33"/>
      <c r="I383" s="29"/>
      <c r="J383" s="28"/>
      <c r="K383" s="11"/>
      <c r="L383" s="11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"/>
    </row>
    <row r="384" spans="1:32">
      <c r="A384" s="20"/>
      <c r="G384" s="2"/>
      <c r="H384" s="2"/>
      <c r="I384" s="2"/>
      <c r="J384" s="10"/>
      <c r="K384" s="9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>
      <c r="A385" s="3"/>
      <c r="G385" s="19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"/>
    </row>
    <row r="386" spans="1:32">
      <c r="A386" s="3"/>
      <c r="C386" s="5"/>
      <c r="D386" s="11"/>
      <c r="G386" s="27"/>
      <c r="H386" s="11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>
      <c r="C387" s="5"/>
      <c r="D387" s="11"/>
      <c r="G387" s="27"/>
      <c r="H387" s="11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>
      <c r="A389" s="20"/>
      <c r="B389" s="5"/>
      <c r="C389" s="11"/>
      <c r="E389" s="12"/>
      <c r="F389" s="18"/>
      <c r="G389" s="19"/>
      <c r="H389" s="2"/>
      <c r="I389" s="2"/>
      <c r="J389" s="2"/>
      <c r="K389" s="9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>
      <c r="C390" s="11"/>
      <c r="E390" s="12"/>
      <c r="F390" s="18"/>
      <c r="G390" s="19"/>
      <c r="H390" s="2"/>
      <c r="I390" s="2"/>
      <c r="J390" s="2"/>
      <c r="K390" s="9"/>
      <c r="N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>
      <c r="A391" s="11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>
      <c r="A392" s="20"/>
      <c r="B392" s="5"/>
      <c r="G392" s="2"/>
      <c r="H392" s="2"/>
      <c r="I392" s="2"/>
      <c r="J392" s="10"/>
      <c r="K392" s="9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>
      <c r="A393" s="14"/>
      <c r="G393" s="2"/>
      <c r="H393" s="2"/>
      <c r="I393" s="2"/>
      <c r="J393" s="2"/>
      <c r="K393" s="9"/>
      <c r="N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>
      <c r="A394" s="11"/>
      <c r="G394" s="25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"/>
    </row>
    <row r="395" spans="1:32">
      <c r="A395" s="20"/>
      <c r="B395" s="5"/>
      <c r="C395" s="11"/>
      <c r="E395" s="27"/>
      <c r="F395" s="6"/>
      <c r="G395" s="28"/>
      <c r="I395" s="29"/>
      <c r="J395" s="2"/>
      <c r="K395" s="9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>
      <c r="A396" s="22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>
      <c r="A397" s="20"/>
      <c r="C397" s="5"/>
      <c r="E397" s="12"/>
      <c r="F397" s="6"/>
      <c r="G397" s="19"/>
      <c r="H397" s="2"/>
      <c r="I397" s="2"/>
      <c r="J397" s="10"/>
      <c r="K397" s="9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>
      <c r="A398" s="14"/>
      <c r="C398" s="5"/>
      <c r="E398" s="12"/>
      <c r="F398" s="6"/>
      <c r="G398" s="19"/>
      <c r="H398" s="2"/>
      <c r="I398" s="2"/>
      <c r="K398" s="9"/>
      <c r="M398" s="1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>
      <c r="A399" s="14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>
      <c r="A400" s="20"/>
      <c r="E400" s="30"/>
      <c r="F400" s="6"/>
      <c r="G400" s="19"/>
      <c r="I400" s="2"/>
      <c r="J400" s="2"/>
      <c r="K400" s="9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>
      <c r="A401" s="14"/>
      <c r="C401" s="5"/>
      <c r="E401" s="12"/>
      <c r="F401" s="6"/>
      <c r="G401" s="19"/>
      <c r="H401" s="2"/>
      <c r="I401" s="2"/>
      <c r="K401" s="9"/>
      <c r="M401" s="1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>
      <c r="A402" s="14"/>
      <c r="B402" s="16"/>
      <c r="E402" s="12"/>
      <c r="F402" s="6"/>
      <c r="G402" s="32"/>
      <c r="H402" s="2"/>
      <c r="I402" s="2"/>
      <c r="K402" s="10"/>
      <c r="L402" s="9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>
      <c r="A403" s="3"/>
      <c r="E403" s="12"/>
      <c r="F403" s="6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>
      <c r="A404" s="3"/>
      <c r="G404" s="19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"/>
    </row>
    <row r="405" spans="1:32">
      <c r="A405" s="3"/>
      <c r="C405" s="5"/>
      <c r="D405" s="11"/>
      <c r="G405" s="27"/>
      <c r="H405" s="11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>
      <c r="A407" s="20"/>
      <c r="B407" s="5"/>
      <c r="C407" s="11"/>
      <c r="E407" s="12"/>
      <c r="F407" s="18"/>
      <c r="G407" s="19"/>
      <c r="H407" s="2"/>
      <c r="I407" s="2"/>
      <c r="J407" s="2"/>
      <c r="K407" s="9"/>
      <c r="AF407" s="2"/>
    </row>
    <row r="408" spans="1:32">
      <c r="C408" s="11"/>
      <c r="E408" s="12"/>
      <c r="F408" s="18"/>
      <c r="G408" s="19"/>
      <c r="H408" s="2"/>
      <c r="I408" s="2"/>
      <c r="J408" s="2"/>
      <c r="K408" s="9"/>
      <c r="AF408" s="2"/>
    </row>
    <row r="409" spans="1:32">
      <c r="A409" s="11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>
      <c r="A410" s="20"/>
      <c r="B410" s="5"/>
      <c r="G410" s="2"/>
      <c r="H410" s="2"/>
      <c r="I410" s="2"/>
      <c r="J410" s="10"/>
      <c r="K410" s="9"/>
      <c r="AF410" s="2"/>
    </row>
    <row r="411" spans="1:32">
      <c r="A411" s="14"/>
      <c r="G411" s="2"/>
      <c r="H411" s="2"/>
      <c r="I411" s="2"/>
      <c r="J411" s="10"/>
      <c r="K411" s="9"/>
      <c r="AF411" s="2"/>
    </row>
    <row r="412" spans="1:32">
      <c r="A412" s="11"/>
      <c r="G412" s="25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"/>
    </row>
    <row r="413" spans="1:32">
      <c r="A413" s="20"/>
      <c r="B413" s="5"/>
      <c r="C413" s="11"/>
      <c r="E413" s="27"/>
      <c r="F413" s="6"/>
      <c r="G413" s="28"/>
      <c r="I413" s="29"/>
      <c r="J413" s="2"/>
      <c r="K413" s="9"/>
      <c r="AF413" s="2"/>
    </row>
    <row r="414" spans="1:32">
      <c r="A414" s="22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>
      <c r="A415" s="20"/>
      <c r="C415" s="5"/>
      <c r="E415" s="12"/>
      <c r="F415" s="6"/>
      <c r="G415" s="19"/>
      <c r="H415" s="2"/>
      <c r="I415" s="2"/>
      <c r="J415" s="10"/>
      <c r="K415" s="9"/>
      <c r="AF415" s="2"/>
    </row>
    <row r="416" spans="1:32">
      <c r="A416" s="14"/>
      <c r="C416" s="5"/>
      <c r="E416" s="12"/>
      <c r="F416" s="6"/>
      <c r="G416" s="19"/>
      <c r="H416" s="2"/>
      <c r="I416" s="2"/>
      <c r="K416" s="9"/>
      <c r="M416" s="10"/>
      <c r="AF416" s="2"/>
    </row>
    <row r="417" spans="1:32">
      <c r="A417" s="14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>
      <c r="A418" s="20"/>
      <c r="E418" s="30"/>
      <c r="F418" s="6"/>
      <c r="G418" s="19"/>
      <c r="I418" s="2"/>
      <c r="J418" s="2"/>
      <c r="K418" s="9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>
      <c r="A419" s="14"/>
      <c r="C419" s="5"/>
      <c r="E419" s="12"/>
      <c r="F419" s="6"/>
      <c r="G419" s="19"/>
      <c r="H419" s="2"/>
      <c r="I419" s="2"/>
      <c r="K419" s="9"/>
      <c r="M419" s="1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>
      <c r="A420" s="14"/>
      <c r="B420" s="16"/>
      <c r="E420" s="12"/>
      <c r="F420" s="6"/>
      <c r="G420" s="32"/>
      <c r="H420" s="2"/>
      <c r="I420" s="2"/>
      <c r="K420" s="10"/>
      <c r="L420" s="9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>
      <c r="A421" s="3"/>
      <c r="B421" s="16"/>
      <c r="E421" s="12"/>
      <c r="F421" s="6"/>
      <c r="G421" s="32"/>
      <c r="H421" s="2"/>
      <c r="I421" s="2"/>
      <c r="K421" s="10"/>
      <c r="L421" s="9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>
      <c r="A422" s="3"/>
      <c r="B422" s="30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2"/>
    </row>
    <row r="423" spans="1:32">
      <c r="A423" s="39"/>
      <c r="D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2"/>
    </row>
    <row r="424" spans="1:32">
      <c r="A424" s="3"/>
      <c r="B424" s="11"/>
      <c r="C424" s="11"/>
      <c r="D424" s="5"/>
      <c r="E424" s="12"/>
      <c r="F424" s="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>
      <c r="B425" s="11"/>
      <c r="C425" s="11"/>
      <c r="E425" s="12"/>
      <c r="F425" s="18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>
      <c r="A426" s="20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>
      <c r="A427" s="20"/>
      <c r="B427" s="16"/>
      <c r="G427" s="32"/>
      <c r="H427" s="3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>
      <c r="A428" s="20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>
      <c r="A429" s="3"/>
      <c r="B429" s="11"/>
      <c r="C429" s="11"/>
      <c r="D429" s="11"/>
      <c r="E429" s="14"/>
      <c r="F429" s="31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>
      <c r="A430" s="20"/>
      <c r="B430" s="5"/>
      <c r="C430" s="11"/>
      <c r="E430" s="12"/>
      <c r="F430" s="18"/>
      <c r="G430" s="19"/>
      <c r="H430" s="2"/>
      <c r="I430" s="2"/>
      <c r="J430" s="2"/>
      <c r="K430" s="26"/>
      <c r="L430" s="2"/>
      <c r="M430" s="2"/>
      <c r="N430" s="2"/>
      <c r="O430" s="26"/>
      <c r="P430" s="2"/>
      <c r="Q430" s="2"/>
      <c r="R430" s="26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>
      <c r="A431" s="5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>
      <c r="A432" s="20"/>
      <c r="B432" s="5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>
      <c r="A433" s="16"/>
      <c r="E433" s="12"/>
      <c r="F433" s="6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>
      <c r="A434" s="20"/>
      <c r="C434" s="5"/>
      <c r="E434" s="12"/>
      <c r="F434" s="6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>
      <c r="A435" s="20"/>
      <c r="E435" s="12"/>
      <c r="F435" s="6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>
      <c r="A436" s="20"/>
      <c r="E436" s="30"/>
      <c r="F436" s="6"/>
      <c r="G436" s="19"/>
      <c r="I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>
      <c r="A437" s="20"/>
      <c r="B437" s="16"/>
      <c r="E437" s="30"/>
      <c r="F437" s="6"/>
      <c r="G437" s="32"/>
      <c r="H437" s="3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>
      <c r="A438" s="20"/>
      <c r="E438" s="12"/>
      <c r="F438" s="6"/>
      <c r="G438" s="2"/>
      <c r="H438" s="2"/>
      <c r="I438" s="21"/>
      <c r="J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>
      <c r="A439" s="3"/>
      <c r="B439" s="11"/>
      <c r="C439" s="11"/>
      <c r="E439" s="27"/>
      <c r="F439" s="18"/>
      <c r="G439" s="19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"/>
    </row>
    <row r="440" spans="1:32">
      <c r="A440" s="3"/>
      <c r="B440" s="5"/>
      <c r="C440" s="11"/>
      <c r="F440" s="27"/>
      <c r="G440" s="11"/>
      <c r="H440" s="2"/>
      <c r="I440" s="2"/>
      <c r="J440" s="2"/>
      <c r="K440" s="2"/>
      <c r="L440" s="2"/>
      <c r="M440" s="2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"/>
    </row>
    <row r="441" spans="1:32">
      <c r="A441" s="3"/>
      <c r="B441" s="11"/>
      <c r="C441" s="11"/>
      <c r="D441" s="11"/>
      <c r="E441" s="27"/>
      <c r="F441" s="6"/>
      <c r="G441" s="19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"/>
    </row>
    <row r="442" spans="1:32">
      <c r="A442" s="20"/>
      <c r="B442" s="5"/>
      <c r="C442" s="11"/>
      <c r="E442" s="27"/>
      <c r="F442" s="6"/>
      <c r="G442" s="2"/>
      <c r="H442" s="11"/>
      <c r="I442" s="29"/>
      <c r="J442" s="28"/>
      <c r="L442" s="11"/>
      <c r="M442" s="28"/>
      <c r="N442" s="2"/>
      <c r="O442" s="11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"/>
    </row>
    <row r="443" spans="1:32">
      <c r="A443" s="20"/>
      <c r="B443" s="14"/>
      <c r="G443" s="28"/>
      <c r="H443" s="2"/>
      <c r="I443" s="29"/>
      <c r="J443" s="28"/>
      <c r="K443" s="11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"/>
    </row>
    <row r="444" spans="1:32">
      <c r="A444" s="11"/>
      <c r="B444" s="11"/>
      <c r="C444" s="11"/>
      <c r="D444" s="11"/>
      <c r="E444" s="21"/>
      <c r="F444" s="6"/>
      <c r="G444" s="25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"/>
    </row>
    <row r="445" spans="1:32">
      <c r="A445" s="20"/>
      <c r="B445" s="5"/>
      <c r="C445" s="11"/>
      <c r="E445" s="27"/>
      <c r="F445" s="6"/>
      <c r="G445" s="28"/>
      <c r="I445" s="29"/>
      <c r="J445" s="11"/>
      <c r="K445" s="2"/>
      <c r="L445" s="11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"/>
    </row>
    <row r="446" spans="1:32">
      <c r="A446" s="20"/>
      <c r="B446" s="11"/>
      <c r="C446" s="11"/>
      <c r="D446" s="11"/>
      <c r="E446" s="27"/>
      <c r="F446" s="6"/>
      <c r="G446" s="25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"/>
    </row>
    <row r="447" spans="1:32">
      <c r="A447" s="20"/>
      <c r="B447" s="5"/>
      <c r="E447" s="2"/>
      <c r="G447" s="2"/>
      <c r="I447" s="11"/>
      <c r="J447" s="28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>
      <c r="B448" s="12"/>
      <c r="E448" s="12"/>
      <c r="F448" s="6"/>
      <c r="G448" s="32"/>
      <c r="H448" s="3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>
      <c r="B449" s="11"/>
      <c r="C449" s="14"/>
      <c r="E449" s="12"/>
      <c r="F449" s="6"/>
      <c r="G449" s="32"/>
      <c r="H449" s="3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>
      <c r="B450" s="16"/>
      <c r="E450" s="12"/>
      <c r="F450" s="6"/>
      <c r="G450" s="32"/>
      <c r="H450" s="3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>
      <c r="A452" s="3"/>
      <c r="B452" s="11"/>
      <c r="C452" s="11"/>
      <c r="D452" s="11"/>
      <c r="E452" s="27"/>
      <c r="F452" s="6"/>
      <c r="G452" s="19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"/>
    </row>
    <row r="453" spans="1:32">
      <c r="A453" s="3"/>
      <c r="B453" s="5"/>
      <c r="C453" s="11"/>
      <c r="F453" s="27"/>
      <c r="G453" s="11"/>
      <c r="H453" s="2"/>
      <c r="I453" s="2"/>
      <c r="J453" s="2"/>
      <c r="K453" s="2"/>
      <c r="L453" s="2"/>
      <c r="M453" s="2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"/>
    </row>
    <row r="454" spans="1:32">
      <c r="A454" s="3"/>
      <c r="B454" s="11"/>
      <c r="C454" s="11"/>
      <c r="D454" s="11"/>
      <c r="E454" s="27"/>
      <c r="F454" s="6"/>
      <c r="G454" s="19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"/>
    </row>
    <row r="455" spans="1:32">
      <c r="A455" s="20"/>
      <c r="B455" s="5"/>
      <c r="C455" s="11"/>
      <c r="E455" s="27"/>
      <c r="F455" s="6"/>
      <c r="G455" s="28"/>
      <c r="H455" s="2"/>
      <c r="I455" s="29"/>
      <c r="J455" s="28"/>
      <c r="K455" s="11"/>
      <c r="M455" s="28"/>
      <c r="O455" s="28"/>
      <c r="P455" s="28"/>
      <c r="Q455" s="11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"/>
    </row>
    <row r="456" spans="1:32">
      <c r="A456" s="20"/>
      <c r="B456" s="14"/>
      <c r="G456" s="28"/>
      <c r="H456" s="2"/>
      <c r="I456" s="29"/>
      <c r="J456" s="28"/>
      <c r="K456" s="11"/>
      <c r="L456" s="11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"/>
    </row>
    <row r="457" spans="1:32">
      <c r="A457" s="14"/>
      <c r="B457" s="11"/>
      <c r="C457" s="11"/>
      <c r="D457" s="11"/>
      <c r="E457" s="27"/>
      <c r="F457" s="6"/>
      <c r="G457" s="25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"/>
    </row>
    <row r="458" spans="1:32">
      <c r="A458" s="20"/>
      <c r="B458" s="5"/>
      <c r="C458" s="11"/>
      <c r="E458" s="27"/>
      <c r="F458" s="6"/>
      <c r="G458" s="28"/>
      <c r="I458" s="29"/>
      <c r="J458" s="11"/>
      <c r="K458" s="2"/>
      <c r="L458" s="11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"/>
    </row>
    <row r="459" spans="1:32">
      <c r="A459" s="20"/>
      <c r="B459" s="11"/>
      <c r="C459" s="11"/>
      <c r="D459" s="11"/>
      <c r="E459" s="27"/>
      <c r="F459" s="6"/>
      <c r="G459" s="25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"/>
    </row>
    <row r="460" spans="1:32">
      <c r="A460" s="20"/>
      <c r="B460" s="5"/>
      <c r="C460" s="11"/>
      <c r="E460" s="2"/>
      <c r="G460" s="2"/>
      <c r="I460" s="11"/>
      <c r="J460" s="28"/>
      <c r="K460" s="2"/>
      <c r="L460" s="12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"/>
    </row>
    <row r="461" spans="1:32">
      <c r="A461" s="20"/>
      <c r="B461" s="16"/>
      <c r="C461" s="11"/>
      <c r="D461" s="11"/>
      <c r="E461" s="27"/>
      <c r="F461" s="6"/>
      <c r="G461" s="32"/>
      <c r="H461" s="33"/>
      <c r="I461" s="29"/>
      <c r="J461" s="28"/>
      <c r="K461" s="11"/>
      <c r="L461" s="11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"/>
    </row>
    <row r="462" spans="1:32">
      <c r="A462" s="20"/>
      <c r="G462" s="2"/>
      <c r="H462" s="2"/>
      <c r="I462" s="2"/>
      <c r="J462" s="10"/>
      <c r="K462" s="9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>
      <c r="A463" s="3"/>
      <c r="G463" s="19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"/>
    </row>
    <row r="464" spans="1:32">
      <c r="A464" s="3"/>
      <c r="C464" s="5"/>
      <c r="D464" s="11"/>
      <c r="G464" s="27"/>
      <c r="H464" s="11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>
      <c r="C465" s="5"/>
      <c r="D465" s="11"/>
      <c r="G465" s="27"/>
      <c r="H465" s="11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>
      <c r="A467" s="20"/>
      <c r="B467" s="5"/>
      <c r="C467" s="11"/>
      <c r="E467" s="12"/>
      <c r="F467" s="18"/>
      <c r="G467" s="19"/>
      <c r="H467" s="2"/>
      <c r="I467" s="2"/>
      <c r="J467" s="2"/>
      <c r="K467" s="9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>
      <c r="C468" s="11"/>
      <c r="E468" s="12"/>
      <c r="F468" s="18"/>
      <c r="G468" s="19"/>
      <c r="H468" s="2"/>
      <c r="I468" s="2"/>
      <c r="J468" s="2"/>
      <c r="K468" s="9"/>
      <c r="N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>
      <c r="A469" s="11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>
      <c r="A470" s="20"/>
      <c r="B470" s="5"/>
      <c r="G470" s="2"/>
      <c r="H470" s="2"/>
      <c r="I470" s="2"/>
      <c r="J470" s="10"/>
      <c r="K470" s="9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>
      <c r="A471" s="14"/>
      <c r="G471" s="2"/>
      <c r="H471" s="2"/>
      <c r="I471" s="2"/>
      <c r="J471" s="2"/>
      <c r="K471" s="9"/>
      <c r="N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>
      <c r="A472" s="11"/>
      <c r="G472" s="25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"/>
    </row>
    <row r="473" spans="1:32">
      <c r="A473" s="20"/>
      <c r="B473" s="5"/>
      <c r="C473" s="11"/>
      <c r="E473" s="27"/>
      <c r="F473" s="6"/>
      <c r="G473" s="28"/>
      <c r="I473" s="29"/>
      <c r="J473" s="2"/>
      <c r="K473" s="9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>
      <c r="A474" s="22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>
      <c r="A475" s="20"/>
      <c r="C475" s="5"/>
      <c r="E475" s="12"/>
      <c r="F475" s="6"/>
      <c r="G475" s="19"/>
      <c r="H475" s="2"/>
      <c r="I475" s="2"/>
      <c r="J475" s="10"/>
      <c r="K475" s="9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>
      <c r="A476" s="14"/>
      <c r="C476" s="5"/>
      <c r="E476" s="12"/>
      <c r="F476" s="6"/>
      <c r="G476" s="19"/>
      <c r="H476" s="2"/>
      <c r="I476" s="2"/>
      <c r="K476" s="9"/>
      <c r="M476" s="1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>
      <c r="A477" s="14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>
      <c r="A478" s="20"/>
      <c r="E478" s="30"/>
      <c r="F478" s="6"/>
      <c r="G478" s="19"/>
      <c r="I478" s="2"/>
      <c r="J478" s="2"/>
      <c r="K478" s="9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>
      <c r="A479" s="14"/>
      <c r="C479" s="5"/>
      <c r="E479" s="12"/>
      <c r="F479" s="6"/>
      <c r="G479" s="19"/>
      <c r="H479" s="2"/>
      <c r="I479" s="2"/>
      <c r="K479" s="9"/>
      <c r="M479" s="1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>
      <c r="A480" s="14"/>
      <c r="B480" s="16"/>
      <c r="E480" s="12"/>
      <c r="F480" s="6"/>
      <c r="G480" s="32"/>
      <c r="H480" s="2"/>
      <c r="I480" s="2"/>
      <c r="K480" s="10"/>
      <c r="L480" s="9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>
      <c r="A481" s="3"/>
      <c r="E481" s="12"/>
      <c r="F481" s="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>
      <c r="A482" s="3"/>
      <c r="G482" s="19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"/>
    </row>
    <row r="483" spans="1:32">
      <c r="A483" s="3"/>
      <c r="C483" s="5"/>
      <c r="D483" s="11"/>
      <c r="G483" s="27"/>
      <c r="H483" s="11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>
      <c r="A485" s="20"/>
      <c r="B485" s="5"/>
      <c r="C485" s="11"/>
      <c r="E485" s="12"/>
      <c r="F485" s="18"/>
      <c r="G485" s="19"/>
      <c r="H485" s="2"/>
      <c r="I485" s="2"/>
      <c r="J485" s="2"/>
      <c r="K485" s="9"/>
      <c r="AF485" s="2"/>
    </row>
    <row r="486" spans="1:32">
      <c r="C486" s="11"/>
      <c r="E486" s="12"/>
      <c r="F486" s="18"/>
      <c r="G486" s="19"/>
      <c r="H486" s="2"/>
      <c r="I486" s="2"/>
      <c r="J486" s="2"/>
      <c r="K486" s="9"/>
      <c r="AF486" s="2"/>
    </row>
    <row r="487" spans="1:32">
      <c r="A487" s="11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>
      <c r="A488" s="20"/>
      <c r="B488" s="5"/>
      <c r="G488" s="2"/>
      <c r="H488" s="2"/>
      <c r="I488" s="2"/>
      <c r="J488" s="10"/>
      <c r="K488" s="9"/>
      <c r="AF488" s="2"/>
    </row>
    <row r="489" spans="1:32">
      <c r="A489" s="14"/>
      <c r="G489" s="2"/>
      <c r="H489" s="2"/>
      <c r="I489" s="2"/>
      <c r="J489" s="10"/>
      <c r="K489" s="9"/>
      <c r="AF489" s="2"/>
    </row>
    <row r="490" spans="1:32">
      <c r="A490" s="11"/>
      <c r="G490" s="25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"/>
    </row>
    <row r="491" spans="1:32">
      <c r="A491" s="20"/>
      <c r="B491" s="5"/>
      <c r="C491" s="11"/>
      <c r="E491" s="27"/>
      <c r="F491" s="6"/>
      <c r="G491" s="28"/>
      <c r="I491" s="29"/>
      <c r="J491" s="2"/>
      <c r="K491" s="9"/>
      <c r="AF491" s="2"/>
    </row>
    <row r="492" spans="1:32">
      <c r="A492" s="22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>
      <c r="A493" s="20"/>
      <c r="C493" s="5"/>
      <c r="E493" s="12"/>
      <c r="F493" s="6"/>
      <c r="G493" s="19"/>
      <c r="H493" s="2"/>
      <c r="I493" s="2"/>
      <c r="J493" s="10"/>
      <c r="K493" s="9"/>
      <c r="AF493" s="2"/>
    </row>
    <row r="494" spans="1:32">
      <c r="A494" s="14"/>
      <c r="C494" s="5"/>
      <c r="E494" s="12"/>
      <c r="F494" s="6"/>
      <c r="G494" s="19"/>
      <c r="H494" s="2"/>
      <c r="I494" s="2"/>
      <c r="K494" s="9"/>
      <c r="M494" s="10"/>
      <c r="AF494" s="2"/>
    </row>
    <row r="495" spans="1:32">
      <c r="A495" s="14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>
      <c r="A496" s="20"/>
      <c r="E496" s="30"/>
      <c r="F496" s="6"/>
      <c r="G496" s="19"/>
      <c r="I496" s="2"/>
      <c r="J496" s="2"/>
      <c r="K496" s="9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>
      <c r="A497" s="14"/>
      <c r="C497" s="5"/>
      <c r="E497" s="12"/>
      <c r="F497" s="6"/>
      <c r="G497" s="19"/>
      <c r="H497" s="2"/>
      <c r="I497" s="2"/>
      <c r="K497" s="9"/>
      <c r="M497" s="1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>
      <c r="A498" s="14"/>
      <c r="B498" s="16"/>
      <c r="E498" s="12"/>
      <c r="F498" s="6"/>
      <c r="G498" s="32"/>
      <c r="H498" s="2"/>
      <c r="I498" s="2"/>
      <c r="K498" s="10"/>
      <c r="L498" s="9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>
      <c r="A499" s="3"/>
      <c r="B499" s="16"/>
      <c r="E499" s="12"/>
      <c r="F499" s="6"/>
      <c r="G499" s="32"/>
      <c r="H499" s="2"/>
      <c r="I499" s="2"/>
      <c r="K499" s="10"/>
      <c r="L499" s="9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>
      <c r="A500" s="3"/>
      <c r="B500" s="30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2"/>
    </row>
    <row r="501" spans="1:32">
      <c r="A501" s="39"/>
      <c r="D501" s="5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2"/>
    </row>
    <row r="502" spans="1:32">
      <c r="A502" s="3"/>
      <c r="B502" s="11"/>
      <c r="C502" s="11"/>
      <c r="D502" s="5"/>
      <c r="E502" s="12"/>
      <c r="F502" s="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>
      <c r="B503" s="11"/>
      <c r="C503" s="11"/>
      <c r="E503" s="12"/>
      <c r="F503" s="18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>
      <c r="A504" s="20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>
      <c r="A505" s="20"/>
      <c r="B505" s="16"/>
      <c r="G505" s="32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2"/>
    </row>
    <row r="506" spans="1:32">
      <c r="A506" s="20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>
      <c r="A507" s="3"/>
      <c r="B507" s="11"/>
      <c r="C507" s="11"/>
      <c r="D507" s="11"/>
      <c r="E507" s="14"/>
      <c r="F507" s="31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>
      <c r="A508" s="20"/>
      <c r="B508" s="5"/>
      <c r="C508" s="11"/>
      <c r="E508" s="12"/>
      <c r="F508" s="18"/>
      <c r="G508" s="19"/>
      <c r="H508" s="2"/>
      <c r="I508" s="2"/>
      <c r="J508" s="2"/>
      <c r="K508" s="26"/>
      <c r="L508" s="2"/>
      <c r="M508" s="2"/>
      <c r="N508" s="2"/>
      <c r="O508" s="26"/>
      <c r="P508" s="2"/>
      <c r="Q508" s="2"/>
      <c r="R508" s="26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>
      <c r="A509" s="5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>
      <c r="A510" s="20"/>
      <c r="B510" s="5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>
      <c r="A511" s="16"/>
      <c r="E511" s="12"/>
      <c r="F511" s="6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>
      <c r="A512" s="20"/>
      <c r="C512" s="5"/>
      <c r="E512" s="12"/>
      <c r="F512" s="6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>
      <c r="A513" s="20"/>
      <c r="E513" s="12"/>
      <c r="F513" s="6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>
      <c r="A514" s="20"/>
      <c r="E514" s="30"/>
      <c r="F514" s="6"/>
      <c r="G514" s="19"/>
      <c r="I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>
      <c r="A515" s="20"/>
      <c r="B515" s="16"/>
      <c r="E515" s="30"/>
      <c r="F515" s="6"/>
      <c r="G515" s="32"/>
      <c r="H515" s="3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>
      <c r="A516" s="20"/>
      <c r="E516" s="12"/>
      <c r="F516" s="6"/>
      <c r="G516" s="2"/>
      <c r="H516" s="2"/>
      <c r="I516" s="21"/>
      <c r="J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>
      <c r="A517" s="3"/>
      <c r="B517" s="11"/>
      <c r="C517" s="11"/>
      <c r="E517" s="27"/>
      <c r="F517" s="18"/>
      <c r="G517" s="19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"/>
    </row>
    <row r="518" spans="1:32">
      <c r="A518" s="3"/>
      <c r="B518" s="5"/>
      <c r="C518" s="11"/>
      <c r="F518" s="27"/>
      <c r="G518" s="11"/>
      <c r="H518" s="2"/>
      <c r="I518" s="2"/>
      <c r="J518" s="2"/>
      <c r="K518" s="2"/>
      <c r="L518" s="2"/>
      <c r="M518" s="2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"/>
    </row>
    <row r="519" spans="1:32">
      <c r="A519" s="3"/>
      <c r="B519" s="11"/>
      <c r="C519" s="11"/>
      <c r="D519" s="11"/>
      <c r="E519" s="27"/>
      <c r="F519" s="6"/>
      <c r="G519" s="19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"/>
    </row>
    <row r="520" spans="1:32">
      <c r="A520" s="20"/>
      <c r="B520" s="5"/>
      <c r="C520" s="11"/>
      <c r="E520" s="27"/>
      <c r="F520" s="6"/>
      <c r="G520" s="2"/>
      <c r="H520" s="11"/>
      <c r="I520" s="29"/>
      <c r="J520" s="28"/>
      <c r="L520" s="11"/>
      <c r="M520" s="28"/>
      <c r="N520" s="2"/>
      <c r="O520" s="11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"/>
    </row>
    <row r="521" spans="1:32">
      <c r="A521" s="20"/>
      <c r="B521" s="14"/>
      <c r="G521" s="28"/>
      <c r="H521" s="2"/>
      <c r="I521" s="29"/>
      <c r="J521" s="28"/>
      <c r="K521" s="11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"/>
    </row>
    <row r="522" spans="1:32">
      <c r="A522" s="11"/>
      <c r="B522" s="11"/>
      <c r="C522" s="11"/>
      <c r="D522" s="11"/>
      <c r="E522" s="21"/>
      <c r="F522" s="6"/>
      <c r="G522" s="25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"/>
    </row>
    <row r="523" spans="1:32">
      <c r="A523" s="20"/>
      <c r="B523" s="5"/>
      <c r="C523" s="11"/>
      <c r="E523" s="27"/>
      <c r="F523" s="6"/>
      <c r="G523" s="28"/>
      <c r="I523" s="29"/>
      <c r="J523" s="11"/>
      <c r="K523" s="2"/>
      <c r="L523" s="11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"/>
    </row>
    <row r="524" spans="1:32">
      <c r="A524" s="20"/>
      <c r="B524" s="11"/>
      <c r="C524" s="11"/>
      <c r="D524" s="11"/>
      <c r="E524" s="27"/>
      <c r="F524" s="6"/>
      <c r="G524" s="25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"/>
    </row>
    <row r="525" spans="1:32">
      <c r="A525" s="20"/>
      <c r="B525" s="5"/>
      <c r="E525" s="2"/>
      <c r="G525" s="2"/>
      <c r="I525" s="11"/>
      <c r="J525" s="28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>
      <c r="B526" s="12"/>
      <c r="E526" s="12"/>
      <c r="F526" s="6"/>
      <c r="G526" s="32"/>
      <c r="H526" s="3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>
      <c r="B527" s="11"/>
      <c r="C527" s="14"/>
      <c r="E527" s="12"/>
      <c r="F527" s="6"/>
      <c r="G527" s="32"/>
      <c r="H527" s="3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>
      <c r="B528" s="16"/>
      <c r="E528" s="12"/>
      <c r="F528" s="6"/>
      <c r="G528" s="32"/>
      <c r="H528" s="3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>
      <c r="A530" s="3"/>
      <c r="B530" s="11"/>
      <c r="C530" s="11"/>
      <c r="D530" s="11"/>
      <c r="E530" s="27"/>
      <c r="F530" s="6"/>
      <c r="G530" s="19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"/>
    </row>
    <row r="531" spans="1:32">
      <c r="A531" s="3"/>
      <c r="B531" s="5"/>
      <c r="C531" s="11"/>
      <c r="F531" s="27"/>
      <c r="G531" s="11"/>
      <c r="H531" s="2"/>
      <c r="I531" s="2"/>
      <c r="J531" s="2"/>
      <c r="K531" s="2"/>
      <c r="L531" s="2"/>
      <c r="M531" s="2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"/>
    </row>
    <row r="532" spans="1:32">
      <c r="A532" s="3"/>
      <c r="B532" s="11"/>
      <c r="C532" s="11"/>
      <c r="D532" s="11"/>
      <c r="E532" s="27"/>
      <c r="F532" s="6"/>
      <c r="G532" s="19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"/>
    </row>
    <row r="533" spans="1:32">
      <c r="A533" s="20"/>
      <c r="B533" s="5"/>
      <c r="C533" s="11"/>
      <c r="E533" s="27"/>
      <c r="F533" s="6"/>
      <c r="G533" s="28"/>
      <c r="H533" s="2"/>
      <c r="I533" s="29"/>
      <c r="J533" s="28"/>
      <c r="K533" s="11"/>
      <c r="M533" s="28"/>
      <c r="O533" s="28"/>
      <c r="P533" s="28"/>
      <c r="Q533" s="11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"/>
    </row>
    <row r="534" spans="1:32">
      <c r="A534" s="20"/>
      <c r="B534" s="14"/>
      <c r="G534" s="28"/>
      <c r="H534" s="2"/>
      <c r="I534" s="29"/>
      <c r="J534" s="28"/>
      <c r="K534" s="11"/>
      <c r="L534" s="11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"/>
    </row>
    <row r="535" spans="1:32">
      <c r="A535" s="14"/>
      <c r="B535" s="11"/>
      <c r="C535" s="11"/>
      <c r="D535" s="11"/>
      <c r="E535" s="27"/>
      <c r="F535" s="6"/>
      <c r="G535" s="25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"/>
    </row>
    <row r="536" spans="1:32">
      <c r="A536" s="20"/>
      <c r="B536" s="5"/>
      <c r="C536" s="11"/>
      <c r="E536" s="27"/>
      <c r="F536" s="6"/>
      <c r="G536" s="28"/>
      <c r="I536" s="29"/>
      <c r="J536" s="11"/>
      <c r="K536" s="2"/>
      <c r="L536" s="11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"/>
    </row>
    <row r="537" spans="1:32">
      <c r="A537" s="20"/>
      <c r="B537" s="11"/>
      <c r="C537" s="11"/>
      <c r="D537" s="11"/>
      <c r="E537" s="27"/>
      <c r="F537" s="6"/>
      <c r="G537" s="25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"/>
    </row>
    <row r="538" spans="1:32">
      <c r="A538" s="20"/>
      <c r="B538" s="5"/>
      <c r="C538" s="11"/>
      <c r="E538" s="2"/>
      <c r="G538" s="2"/>
      <c r="I538" s="11"/>
      <c r="J538" s="28"/>
      <c r="K538" s="2"/>
      <c r="L538" s="12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"/>
    </row>
    <row r="539" spans="1:32">
      <c r="A539" s="20"/>
      <c r="B539" s="16"/>
      <c r="C539" s="11"/>
      <c r="D539" s="11"/>
      <c r="E539" s="27"/>
      <c r="F539" s="6"/>
      <c r="G539" s="32"/>
      <c r="H539" s="33"/>
      <c r="I539" s="29"/>
      <c r="J539" s="28"/>
      <c r="K539" s="11"/>
      <c r="L539" s="11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"/>
    </row>
    <row r="540" spans="1:32">
      <c r="A540" s="20"/>
      <c r="G540" s="2"/>
      <c r="H540" s="2"/>
      <c r="I540" s="2"/>
      <c r="J540" s="10"/>
      <c r="K540" s="9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>
      <c r="A541" s="3"/>
      <c r="G541" s="19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"/>
    </row>
    <row r="542" spans="1:32">
      <c r="A542" s="3"/>
      <c r="C542" s="5"/>
      <c r="D542" s="11"/>
      <c r="G542" s="27"/>
      <c r="H542" s="11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>
      <c r="C543" s="5"/>
      <c r="D543" s="11"/>
      <c r="G543" s="27"/>
      <c r="H543" s="11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>
      <c r="A545" s="20"/>
      <c r="B545" s="5"/>
      <c r="C545" s="11"/>
      <c r="E545" s="12"/>
      <c r="F545" s="18"/>
      <c r="G545" s="19"/>
      <c r="H545" s="2"/>
      <c r="I545" s="2"/>
      <c r="J545" s="2"/>
      <c r="K545" s="9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>
      <c r="C546" s="11"/>
      <c r="E546" s="12"/>
      <c r="F546" s="18"/>
      <c r="G546" s="19"/>
      <c r="H546" s="2"/>
      <c r="I546" s="2"/>
      <c r="J546" s="2"/>
      <c r="K546" s="9"/>
      <c r="N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>
      <c r="A547" s="11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>
      <c r="A548" s="20"/>
      <c r="B548" s="5"/>
      <c r="G548" s="2"/>
      <c r="H548" s="2"/>
      <c r="I548" s="2"/>
      <c r="J548" s="10"/>
      <c r="K548" s="9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>
      <c r="A549" s="14"/>
      <c r="G549" s="2"/>
      <c r="H549" s="2"/>
      <c r="I549" s="2"/>
      <c r="J549" s="2"/>
      <c r="K549" s="9"/>
      <c r="N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>
      <c r="A550" s="11"/>
      <c r="G550" s="25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"/>
    </row>
    <row r="551" spans="1:32">
      <c r="A551" s="20"/>
      <c r="B551" s="5"/>
      <c r="C551" s="11"/>
      <c r="E551" s="27"/>
      <c r="F551" s="6"/>
      <c r="G551" s="28"/>
      <c r="I551" s="29"/>
      <c r="J551" s="2"/>
      <c r="K551" s="9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>
      <c r="A552" s="22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>
      <c r="A553" s="20"/>
      <c r="C553" s="5"/>
      <c r="E553" s="12"/>
      <c r="F553" s="6"/>
      <c r="G553" s="19"/>
      <c r="H553" s="2"/>
      <c r="I553" s="2"/>
      <c r="J553" s="10"/>
      <c r="K553" s="9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>
      <c r="A554" s="14"/>
      <c r="C554" s="5"/>
      <c r="E554" s="12"/>
      <c r="F554" s="6"/>
      <c r="G554" s="19"/>
      <c r="H554" s="2"/>
      <c r="I554" s="2"/>
      <c r="K554" s="9"/>
      <c r="M554" s="1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>
      <c r="A555" s="14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>
      <c r="A556" s="20"/>
      <c r="E556" s="30"/>
      <c r="F556" s="6"/>
      <c r="G556" s="19"/>
      <c r="I556" s="2"/>
      <c r="J556" s="2"/>
      <c r="K556" s="9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>
      <c r="A557" s="14"/>
      <c r="C557" s="5"/>
      <c r="E557" s="12"/>
      <c r="F557" s="6"/>
      <c r="G557" s="19"/>
      <c r="H557" s="2"/>
      <c r="I557" s="2"/>
      <c r="K557" s="9"/>
      <c r="M557" s="1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>
      <c r="A558" s="14"/>
      <c r="B558" s="16"/>
      <c r="E558" s="12"/>
      <c r="F558" s="6"/>
      <c r="G558" s="32"/>
      <c r="H558" s="2"/>
      <c r="I558" s="2"/>
      <c r="K558" s="10"/>
      <c r="L558" s="9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>
      <c r="A559" s="3"/>
      <c r="E559" s="12"/>
      <c r="F559" s="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>
      <c r="A560" s="3"/>
      <c r="G560" s="19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"/>
    </row>
    <row r="561" spans="1:32">
      <c r="A561" s="3"/>
      <c r="C561" s="5"/>
      <c r="D561" s="11"/>
      <c r="G561" s="27"/>
      <c r="H561" s="1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>
      <c r="A563" s="20"/>
      <c r="B563" s="5"/>
      <c r="C563" s="11"/>
      <c r="E563" s="12"/>
      <c r="F563" s="18"/>
      <c r="G563" s="19"/>
      <c r="H563" s="2"/>
      <c r="I563" s="2"/>
      <c r="J563" s="2"/>
      <c r="K563" s="9"/>
      <c r="AF563" s="2"/>
    </row>
    <row r="564" spans="1:32">
      <c r="C564" s="11"/>
      <c r="E564" s="12"/>
      <c r="F564" s="18"/>
      <c r="G564" s="19"/>
      <c r="H564" s="2"/>
      <c r="I564" s="2"/>
      <c r="J564" s="2"/>
      <c r="K564" s="9"/>
      <c r="AF564" s="2"/>
    </row>
    <row r="565" spans="1:32">
      <c r="A565" s="11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>
      <c r="A566" s="20"/>
      <c r="B566" s="5"/>
      <c r="G566" s="2"/>
      <c r="H566" s="2"/>
      <c r="I566" s="2"/>
      <c r="J566" s="10"/>
      <c r="K566" s="9"/>
      <c r="AF566" s="2"/>
    </row>
    <row r="567" spans="1:32">
      <c r="A567" s="14"/>
      <c r="G567" s="2"/>
      <c r="H567" s="2"/>
      <c r="I567" s="2"/>
      <c r="J567" s="10"/>
      <c r="K567" s="9"/>
      <c r="AF567" s="2"/>
    </row>
    <row r="568" spans="1:32">
      <c r="A568" s="11"/>
      <c r="G568" s="25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"/>
    </row>
    <row r="569" spans="1:32">
      <c r="A569" s="20"/>
      <c r="B569" s="5"/>
      <c r="C569" s="11"/>
      <c r="E569" s="27"/>
      <c r="F569" s="6"/>
      <c r="G569" s="28"/>
      <c r="I569" s="29"/>
      <c r="J569" s="2"/>
      <c r="K569" s="9"/>
      <c r="AF569" s="2"/>
    </row>
    <row r="570" spans="1:32">
      <c r="A570" s="22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>
      <c r="A571" s="20"/>
      <c r="C571" s="5"/>
      <c r="E571" s="12"/>
      <c r="F571" s="6"/>
      <c r="G571" s="19"/>
      <c r="H571" s="2"/>
      <c r="I571" s="2"/>
      <c r="J571" s="10"/>
      <c r="K571" s="9"/>
      <c r="AF571" s="2"/>
    </row>
    <row r="572" spans="1:32">
      <c r="A572" s="14"/>
      <c r="C572" s="5"/>
      <c r="E572" s="12"/>
      <c r="F572" s="6"/>
      <c r="G572" s="19"/>
      <c r="H572" s="2"/>
      <c r="I572" s="2"/>
      <c r="K572" s="9"/>
      <c r="M572" s="10"/>
      <c r="AF572" s="2"/>
    </row>
    <row r="573" spans="1:32">
      <c r="A573" s="14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>
      <c r="A574" s="20"/>
      <c r="E574" s="30"/>
      <c r="F574" s="6"/>
      <c r="G574" s="19"/>
      <c r="I574" s="2"/>
      <c r="J574" s="2"/>
      <c r="K574" s="9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>
      <c r="A575" s="14"/>
      <c r="C575" s="5"/>
      <c r="E575" s="12"/>
      <c r="F575" s="6"/>
      <c r="G575" s="19"/>
      <c r="H575" s="2"/>
      <c r="I575" s="2"/>
      <c r="K575" s="9"/>
      <c r="M575" s="1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>
      <c r="A576" s="14"/>
      <c r="B576" s="16"/>
      <c r="E576" s="12"/>
      <c r="F576" s="6"/>
      <c r="G576" s="32"/>
      <c r="H576" s="2"/>
      <c r="I576" s="2"/>
      <c r="K576" s="10"/>
      <c r="L576" s="9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>
      <c r="A577" s="3"/>
      <c r="B577" s="16"/>
      <c r="E577" s="12"/>
      <c r="F577" s="6"/>
      <c r="G577" s="32"/>
      <c r="H577" s="2"/>
      <c r="I577" s="2"/>
      <c r="K577" s="10"/>
      <c r="L577" s="9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>
      <c r="A578" s="3"/>
      <c r="B578" s="30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2"/>
    </row>
    <row r="579" spans="1:32">
      <c r="A579" s="39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2"/>
    </row>
    <row r="580" spans="1:32">
      <c r="A580" s="3"/>
      <c r="B580" s="11"/>
      <c r="C580" s="11"/>
      <c r="D580" s="5"/>
      <c r="E580" s="12"/>
      <c r="F580" s="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>
      <c r="B581" s="11"/>
      <c r="C581" s="11"/>
      <c r="E581" s="12"/>
      <c r="F581" s="18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>
      <c r="A582" s="20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>
      <c r="A583" s="20"/>
      <c r="B583" s="16"/>
      <c r="G583" s="32"/>
      <c r="H583" s="3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>
      <c r="A584" s="20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>
      <c r="A585" s="3"/>
      <c r="B585" s="11"/>
      <c r="C585" s="11"/>
      <c r="D585" s="11"/>
      <c r="E585" s="14"/>
      <c r="F585" s="31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>
      <c r="A586" s="20"/>
      <c r="B586" s="5"/>
      <c r="C586" s="11"/>
      <c r="E586" s="12"/>
      <c r="F586" s="18"/>
      <c r="G586" s="19"/>
      <c r="H586" s="2"/>
      <c r="I586" s="2"/>
      <c r="J586" s="2"/>
      <c r="K586" s="26"/>
      <c r="L586" s="2"/>
      <c r="M586" s="2"/>
      <c r="N586" s="2"/>
      <c r="O586" s="26"/>
      <c r="P586" s="2"/>
      <c r="Q586" s="2"/>
      <c r="R586" s="26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>
      <c r="A587" s="5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>
      <c r="A588" s="20"/>
      <c r="B588" s="5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>
      <c r="A589" s="16"/>
      <c r="E589" s="12"/>
      <c r="F589" s="6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>
      <c r="A590" s="20"/>
      <c r="C590" s="5"/>
      <c r="E590" s="12"/>
      <c r="F590" s="6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>
      <c r="A591" s="20"/>
      <c r="E591" s="12"/>
      <c r="F591" s="6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>
      <c r="A592" s="20"/>
      <c r="E592" s="30"/>
      <c r="F592" s="6"/>
      <c r="G592" s="19"/>
      <c r="I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>
      <c r="A593" s="20"/>
      <c r="B593" s="16"/>
      <c r="E593" s="30"/>
      <c r="F593" s="6"/>
      <c r="G593" s="32"/>
      <c r="H593" s="3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>
      <c r="A594" s="20"/>
      <c r="E594" s="12"/>
      <c r="F594" s="6"/>
      <c r="G594" s="2"/>
      <c r="H594" s="2"/>
      <c r="I594" s="21"/>
      <c r="J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s="11" customFormat="1">
      <c r="A595" s="3"/>
      <c r="D595"/>
      <c r="E595" s="27"/>
      <c r="F595" s="18"/>
      <c r="G595" s="19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8"/>
    </row>
    <row r="596" spans="1:32" s="11" customFormat="1">
      <c r="A596" s="3"/>
      <c r="B596" s="5"/>
      <c r="D596"/>
      <c r="E596"/>
      <c r="F596" s="27"/>
      <c r="H596" s="2"/>
      <c r="I596" s="2"/>
      <c r="J596" s="2"/>
      <c r="K596" s="2"/>
      <c r="L596" s="2"/>
      <c r="M596" s="2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</row>
    <row r="597" spans="1:32" s="11" customFormat="1">
      <c r="A597" s="3"/>
      <c r="E597" s="27"/>
      <c r="F597" s="6"/>
      <c r="G597" s="19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8"/>
    </row>
    <row r="598" spans="1:32" s="11" customFormat="1">
      <c r="A598" s="20"/>
      <c r="B598" s="5"/>
      <c r="D598"/>
      <c r="E598" s="27"/>
      <c r="F598" s="6"/>
      <c r="G598" s="2"/>
      <c r="I598" s="29"/>
      <c r="J598" s="28"/>
      <c r="K598"/>
      <c r="M598" s="28"/>
      <c r="N598" s="2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</row>
    <row r="599" spans="1:32" s="11" customFormat="1">
      <c r="A599" s="20"/>
      <c r="B599" s="14"/>
      <c r="C599"/>
      <c r="D599"/>
      <c r="E599"/>
      <c r="F599"/>
      <c r="G599" s="28"/>
      <c r="H599" s="2"/>
      <c r="I599" s="29"/>
      <c r="J599" s="28"/>
      <c r="L599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</row>
    <row r="600" spans="1:32" s="11" customFormat="1">
      <c r="E600" s="21"/>
      <c r="F600" s="6"/>
      <c r="G600" s="25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8"/>
    </row>
    <row r="601" spans="1:32" s="11" customFormat="1">
      <c r="A601" s="20"/>
      <c r="B601" s="5"/>
      <c r="D601"/>
      <c r="E601" s="27"/>
      <c r="F601" s="6"/>
      <c r="G601" s="28"/>
      <c r="H601"/>
      <c r="I601" s="29"/>
      <c r="K601" s="2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</row>
    <row r="602" spans="1:32" s="11" customFormat="1">
      <c r="A602" s="20"/>
      <c r="E602" s="27"/>
      <c r="F602" s="6"/>
      <c r="G602" s="25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8"/>
    </row>
    <row r="603" spans="1:32">
      <c r="A603" s="20"/>
      <c r="B603" s="5"/>
      <c r="E603" s="2"/>
      <c r="G603" s="2"/>
      <c r="I603" s="11"/>
      <c r="J603" s="28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>
      <c r="B604" s="12"/>
      <c r="E604" s="12"/>
      <c r="F604" s="6"/>
      <c r="G604" s="32"/>
      <c r="H604" s="3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>
      <c r="B605" s="11"/>
      <c r="C605" s="14"/>
      <c r="E605" s="12"/>
      <c r="F605" s="6"/>
      <c r="G605" s="32"/>
      <c r="H605" s="3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>
      <c r="B606" s="16"/>
      <c r="E606" s="12"/>
      <c r="F606" s="6"/>
      <c r="G606" s="32"/>
      <c r="H606" s="3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s="11" customFormat="1">
      <c r="A608" s="3"/>
      <c r="E608" s="27"/>
      <c r="F608" s="6"/>
      <c r="G608" s="19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8"/>
    </row>
    <row r="609" spans="1:32" s="11" customFormat="1">
      <c r="A609" s="3"/>
      <c r="B609" s="5"/>
      <c r="D609"/>
      <c r="E609"/>
      <c r="F609" s="27"/>
      <c r="H609" s="2"/>
      <c r="I609" s="2"/>
      <c r="J609" s="2"/>
      <c r="K609" s="2"/>
      <c r="L609" s="2"/>
      <c r="M609" s="2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</row>
    <row r="610" spans="1:32" s="11" customFormat="1">
      <c r="A610" s="3"/>
      <c r="E610" s="27"/>
      <c r="F610" s="6"/>
      <c r="G610" s="19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8"/>
    </row>
    <row r="611" spans="1:32" s="11" customFormat="1">
      <c r="A611" s="20"/>
      <c r="B611" s="5"/>
      <c r="D611"/>
      <c r="E611" s="27"/>
      <c r="F611" s="6"/>
      <c r="G611" s="28"/>
      <c r="H611" s="2"/>
      <c r="I611" s="29"/>
      <c r="J611" s="28"/>
      <c r="L611"/>
      <c r="M611" s="28"/>
      <c r="N611"/>
      <c r="O611" s="28"/>
      <c r="P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</row>
    <row r="612" spans="1:32" s="11" customFormat="1">
      <c r="A612" s="20"/>
      <c r="B612" s="14"/>
      <c r="C612"/>
      <c r="D612"/>
      <c r="E612"/>
      <c r="F612"/>
      <c r="G612" s="28"/>
      <c r="H612" s="2"/>
      <c r="I612" s="29"/>
      <c r="J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</row>
    <row r="613" spans="1:32" s="11" customFormat="1">
      <c r="A613" s="14"/>
      <c r="E613" s="27"/>
      <c r="F613" s="6"/>
      <c r="G613" s="25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8"/>
    </row>
    <row r="614" spans="1:32" s="11" customFormat="1">
      <c r="A614" s="20"/>
      <c r="B614" s="5"/>
      <c r="D614"/>
      <c r="E614" s="27"/>
      <c r="F614" s="6"/>
      <c r="G614" s="28"/>
      <c r="H614"/>
      <c r="I614" s="29"/>
      <c r="K614" s="2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</row>
    <row r="615" spans="1:32" s="11" customFormat="1">
      <c r="A615" s="20"/>
      <c r="E615" s="27"/>
      <c r="F615" s="6"/>
      <c r="G615" s="25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8"/>
    </row>
    <row r="616" spans="1:32" s="11" customFormat="1">
      <c r="A616" s="20"/>
      <c r="B616" s="5"/>
      <c r="D616"/>
      <c r="E616" s="2"/>
      <c r="F616"/>
      <c r="G616" s="2"/>
      <c r="H616"/>
      <c r="J616" s="28"/>
      <c r="K616" s="2"/>
      <c r="L616" s="12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</row>
    <row r="617" spans="1:32" s="11" customFormat="1">
      <c r="A617" s="20"/>
      <c r="B617" s="16"/>
      <c r="E617" s="27"/>
      <c r="F617" s="6"/>
      <c r="G617" s="32"/>
      <c r="H617" s="33"/>
      <c r="I617" s="29"/>
      <c r="J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</row>
    <row r="618" spans="1:32">
      <c r="A618" s="20"/>
      <c r="G618" s="2"/>
      <c r="H618" s="2"/>
      <c r="I618" s="2"/>
      <c r="J618" s="10"/>
      <c r="K618" s="9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>
      <c r="A619" s="3"/>
      <c r="G619" s="19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"/>
    </row>
    <row r="620" spans="1:32">
      <c r="A620" s="3"/>
      <c r="C620" s="5"/>
      <c r="D620" s="11"/>
      <c r="G620" s="27"/>
      <c r="H620" s="11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>
      <c r="C621" s="5"/>
      <c r="D621" s="11"/>
      <c r="G621" s="27"/>
      <c r="H621" s="11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>
      <c r="A623" s="20"/>
      <c r="B623" s="5"/>
      <c r="C623" s="11"/>
      <c r="E623" s="12"/>
      <c r="F623" s="18"/>
      <c r="G623" s="19"/>
      <c r="H623" s="2"/>
      <c r="I623" s="2"/>
      <c r="J623" s="2"/>
      <c r="K623" s="9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>
      <c r="C624" s="11"/>
      <c r="E624" s="12"/>
      <c r="F624" s="18"/>
      <c r="G624" s="19"/>
      <c r="H624" s="2"/>
      <c r="I624" s="2"/>
      <c r="J624" s="2"/>
      <c r="K624" s="9"/>
      <c r="N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>
      <c r="A625" s="11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>
      <c r="A626" s="20"/>
      <c r="B626" s="5"/>
      <c r="G626" s="2"/>
      <c r="H626" s="2"/>
      <c r="I626" s="2"/>
      <c r="J626" s="10"/>
      <c r="K626" s="9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>
      <c r="A627" s="14"/>
      <c r="G627" s="2"/>
      <c r="H627" s="2"/>
      <c r="I627" s="2"/>
      <c r="J627" s="2"/>
      <c r="K627" s="9"/>
      <c r="N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>
      <c r="A628" s="11"/>
      <c r="F628" s="10"/>
      <c r="G628" s="25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"/>
    </row>
    <row r="629" spans="1:32">
      <c r="A629" s="20"/>
      <c r="B629" s="5"/>
      <c r="C629" s="11"/>
      <c r="E629" s="27"/>
      <c r="F629" s="6"/>
      <c r="G629" s="28"/>
      <c r="I629" s="29"/>
      <c r="J629" s="2"/>
      <c r="K629" s="9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>
      <c r="A630" s="22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>
      <c r="A631" s="20"/>
      <c r="C631" s="5"/>
      <c r="E631" s="12"/>
      <c r="F631" s="6"/>
      <c r="G631" s="19"/>
      <c r="H631" s="2"/>
      <c r="I631" s="2"/>
      <c r="J631" s="10"/>
      <c r="K631" s="9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>
      <c r="A632" s="14"/>
      <c r="C632" s="5"/>
      <c r="E632" s="12"/>
      <c r="F632" s="6"/>
      <c r="G632" s="19"/>
      <c r="H632" s="2"/>
      <c r="I632" s="2"/>
      <c r="K632" s="9"/>
      <c r="M632" s="1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>
      <c r="A633" s="14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>
      <c r="A634" s="20"/>
      <c r="E634" s="30"/>
      <c r="F634" s="6"/>
      <c r="G634" s="19"/>
      <c r="I634" s="2"/>
      <c r="J634" s="2"/>
      <c r="K634" s="9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>
      <c r="A635" s="14"/>
      <c r="C635" s="5"/>
      <c r="E635" s="12"/>
      <c r="F635" s="6"/>
      <c r="G635" s="19"/>
      <c r="H635" s="2"/>
      <c r="I635" s="2"/>
      <c r="K635" s="9"/>
      <c r="M635" s="1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>
      <c r="A636" s="14"/>
      <c r="B636" s="16"/>
      <c r="E636" s="12"/>
      <c r="F636" s="6"/>
      <c r="G636" s="32"/>
      <c r="H636" s="2"/>
      <c r="I636" s="2"/>
      <c r="K636" s="10"/>
      <c r="L636" s="9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>
      <c r="A637" s="3"/>
      <c r="E637" s="12"/>
      <c r="F637" s="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>
      <c r="A638" s="3"/>
      <c r="G638" s="19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"/>
    </row>
    <row r="639" spans="1:32">
      <c r="A639" s="3"/>
      <c r="C639" s="5"/>
      <c r="D639" s="11"/>
      <c r="G639" s="27"/>
      <c r="H639" s="11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>
      <c r="A641" s="20"/>
      <c r="B641" s="5"/>
      <c r="C641" s="11"/>
      <c r="E641" s="12"/>
      <c r="F641" s="18"/>
      <c r="G641" s="19"/>
      <c r="H641" s="2"/>
      <c r="I641" s="2"/>
      <c r="J641" s="2"/>
      <c r="K641" s="9"/>
      <c r="AF641" s="2"/>
    </row>
    <row r="642" spans="1:32">
      <c r="C642" s="11"/>
      <c r="E642" s="12"/>
      <c r="F642" s="18"/>
      <c r="G642" s="19"/>
      <c r="H642" s="2"/>
      <c r="I642" s="2"/>
      <c r="J642" s="2"/>
      <c r="K642" s="9"/>
      <c r="AF642" s="2"/>
    </row>
    <row r="643" spans="1:32">
      <c r="A643" s="11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>
      <c r="A644" s="20"/>
      <c r="B644" s="5"/>
      <c r="G644" s="2"/>
      <c r="H644" s="2"/>
      <c r="I644" s="2"/>
      <c r="J644" s="10"/>
      <c r="K644" s="9"/>
      <c r="AF644" s="2"/>
    </row>
    <row r="645" spans="1:32">
      <c r="A645" s="14"/>
      <c r="G645" s="2"/>
      <c r="H645" s="2"/>
      <c r="I645" s="2"/>
      <c r="J645" s="10"/>
      <c r="K645" s="9"/>
      <c r="AF645" s="2"/>
    </row>
    <row r="646" spans="1:32">
      <c r="A646" s="11"/>
      <c r="G646" s="25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"/>
    </row>
    <row r="647" spans="1:32">
      <c r="A647" s="20"/>
      <c r="B647" s="5"/>
      <c r="C647" s="11"/>
      <c r="E647" s="27"/>
      <c r="F647" s="6"/>
      <c r="G647" s="28"/>
      <c r="I647" s="29"/>
      <c r="J647" s="2"/>
      <c r="K647" s="9"/>
      <c r="AF647" s="2"/>
    </row>
    <row r="648" spans="1:32">
      <c r="A648" s="22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>
      <c r="A649" s="20"/>
      <c r="C649" s="5"/>
      <c r="E649" s="12"/>
      <c r="F649" s="6"/>
      <c r="G649" s="19"/>
      <c r="H649" s="2"/>
      <c r="I649" s="2"/>
      <c r="J649" s="10"/>
      <c r="K649" s="9"/>
      <c r="AF649" s="2"/>
    </row>
    <row r="650" spans="1:32">
      <c r="A650" s="14"/>
      <c r="C650" s="5"/>
      <c r="E650" s="12"/>
      <c r="F650" s="6"/>
      <c r="G650" s="19"/>
      <c r="H650" s="2"/>
      <c r="I650" s="2"/>
      <c r="K650" s="9"/>
      <c r="M650" s="10"/>
      <c r="AF650" s="2"/>
    </row>
    <row r="651" spans="1:32">
      <c r="A651" s="14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>
      <c r="A652" s="20"/>
      <c r="E652" s="30"/>
      <c r="F652" s="6"/>
      <c r="G652" s="19"/>
      <c r="I652" s="2"/>
      <c r="J652" s="2"/>
      <c r="K652" s="9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>
      <c r="A653" s="14"/>
      <c r="C653" s="5"/>
      <c r="E653" s="12"/>
      <c r="F653" s="6"/>
      <c r="G653" s="19"/>
      <c r="H653" s="2"/>
      <c r="I653" s="2"/>
      <c r="K653" s="9"/>
      <c r="M653" s="1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>
      <c r="A654" s="14"/>
      <c r="B654" s="16"/>
      <c r="E654" s="12"/>
      <c r="F654" s="6"/>
      <c r="G654" s="32"/>
      <c r="H654" s="2"/>
      <c r="I654" s="2"/>
      <c r="K654" s="10"/>
      <c r="L654" s="9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>
      <c r="A655" s="3"/>
      <c r="B655" s="16"/>
      <c r="E655" s="12"/>
      <c r="F655" s="6"/>
      <c r="G655" s="32"/>
      <c r="H655" s="2"/>
      <c r="I655" s="2"/>
      <c r="K655" s="10"/>
      <c r="L655" s="9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>
      <c r="A656" s="3"/>
      <c r="B656" s="30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2"/>
    </row>
    <row r="657" spans="1:32">
      <c r="A657" s="39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2"/>
    </row>
    <row r="658" spans="1:32">
      <c r="A658" s="3"/>
      <c r="B658" s="11"/>
      <c r="C658" s="11"/>
      <c r="D658" s="5"/>
      <c r="E658" s="12"/>
      <c r="F658" s="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>
      <c r="B659" s="11"/>
      <c r="C659" s="11"/>
      <c r="E659" s="12"/>
      <c r="F659" s="18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>
      <c r="A660" s="20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>
      <c r="A661" s="20"/>
      <c r="B661" s="16"/>
      <c r="G661" s="32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2"/>
    </row>
    <row r="662" spans="1:32">
      <c r="A662" s="20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>
      <c r="A663" s="3"/>
      <c r="B663" s="11"/>
      <c r="C663" s="11"/>
      <c r="D663" s="11"/>
      <c r="E663" s="14"/>
      <c r="F663" s="31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>
      <c r="A664" s="20"/>
      <c r="B664" s="5"/>
      <c r="C664" s="11"/>
      <c r="E664" s="12"/>
      <c r="F664" s="18"/>
      <c r="G664" s="19"/>
      <c r="H664" s="2"/>
      <c r="I664" s="2"/>
      <c r="J664" s="2"/>
      <c r="K664" s="26"/>
      <c r="L664" s="2"/>
      <c r="M664" s="2"/>
      <c r="N664" s="2"/>
      <c r="O664" s="26"/>
      <c r="P664" s="2"/>
      <c r="Q664" s="2"/>
      <c r="R664" s="26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>
      <c r="A665" s="5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>
      <c r="A666" s="20"/>
      <c r="B666" s="5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>
      <c r="A667" s="16"/>
      <c r="E667" s="12"/>
      <c r="F667" s="6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>
      <c r="A668" s="20"/>
      <c r="C668" s="5"/>
      <c r="E668" s="12"/>
      <c r="F668" s="6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>
      <c r="A669" s="20"/>
      <c r="E669" s="12"/>
      <c r="F669" s="6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>
      <c r="A670" s="20"/>
      <c r="E670" s="30"/>
      <c r="F670" s="6"/>
      <c r="G670" s="19"/>
      <c r="I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>
      <c r="A671" s="20"/>
      <c r="B671" s="16"/>
      <c r="E671" s="30"/>
      <c r="F671" s="6"/>
      <c r="G671" s="32"/>
      <c r="H671" s="3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>
      <c r="A672" s="20"/>
      <c r="E672" s="12"/>
      <c r="F672" s="6"/>
      <c r="G672" s="2"/>
      <c r="H672" s="2"/>
      <c r="I672" s="21"/>
      <c r="J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s="11" customFormat="1">
      <c r="A673" s="3"/>
      <c r="D673"/>
      <c r="E673" s="27"/>
      <c r="F673" s="18"/>
      <c r="G673" s="19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8"/>
    </row>
    <row r="674" spans="1:32" s="11" customFormat="1">
      <c r="A674" s="3"/>
      <c r="B674" s="5"/>
      <c r="D674"/>
      <c r="E674"/>
      <c r="F674" s="27"/>
      <c r="H674" s="2"/>
      <c r="I674" s="2"/>
      <c r="J674" s="2"/>
      <c r="K674" s="2"/>
      <c r="L674" s="2"/>
      <c r="M674" s="2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</row>
    <row r="675" spans="1:32" s="11" customFormat="1">
      <c r="A675" s="3"/>
      <c r="E675" s="27"/>
      <c r="F675" s="6"/>
      <c r="G675" s="19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8"/>
    </row>
    <row r="676" spans="1:32" s="11" customFormat="1">
      <c r="A676" s="20"/>
      <c r="B676" s="5"/>
      <c r="D676"/>
      <c r="E676" s="27"/>
      <c r="F676" s="6"/>
      <c r="G676" s="2"/>
      <c r="I676" s="29"/>
      <c r="J676" s="28"/>
      <c r="K676"/>
      <c r="M676" s="28"/>
      <c r="N676" s="2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</row>
    <row r="677" spans="1:32" s="11" customFormat="1">
      <c r="A677" s="20"/>
      <c r="B677" s="14"/>
      <c r="C677"/>
      <c r="D677"/>
      <c r="E677"/>
      <c r="F677"/>
      <c r="G677" s="28"/>
      <c r="H677" s="2"/>
      <c r="I677" s="29"/>
      <c r="J677" s="28"/>
      <c r="L677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</row>
    <row r="678" spans="1:32" s="11" customFormat="1">
      <c r="E678" s="21"/>
      <c r="F678" s="6"/>
      <c r="G678" s="25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8"/>
    </row>
    <row r="679" spans="1:32" s="11" customFormat="1">
      <c r="A679" s="20"/>
      <c r="B679" s="5"/>
      <c r="D679"/>
      <c r="E679" s="27"/>
      <c r="F679" s="6"/>
      <c r="G679" s="28"/>
      <c r="H679"/>
      <c r="I679" s="29"/>
      <c r="K679" s="2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</row>
    <row r="680" spans="1:32" s="11" customFormat="1">
      <c r="A680" s="20"/>
      <c r="E680" s="27"/>
      <c r="F680" s="6"/>
      <c r="G680" s="25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8"/>
    </row>
    <row r="681" spans="1:32">
      <c r="A681" s="20"/>
      <c r="B681" s="5"/>
      <c r="E681" s="2"/>
      <c r="G681" s="2"/>
      <c r="I681" s="11"/>
      <c r="J681" s="28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>
      <c r="B682" s="12"/>
      <c r="E682" s="12"/>
      <c r="F682" s="6"/>
      <c r="G682" s="32"/>
      <c r="H682" s="3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>
      <c r="B683" s="11"/>
      <c r="C683" s="14"/>
      <c r="E683" s="12"/>
      <c r="F683" s="6"/>
      <c r="G683" s="32"/>
      <c r="H683" s="3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>
      <c r="B684" s="16"/>
      <c r="E684" s="12"/>
      <c r="F684" s="6"/>
      <c r="G684" s="32"/>
      <c r="H684" s="3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s="11" customFormat="1">
      <c r="A686" s="3"/>
      <c r="E686" s="27"/>
      <c r="F686" s="6"/>
      <c r="G686" s="19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8"/>
    </row>
    <row r="687" spans="1:32" s="11" customFormat="1">
      <c r="A687" s="3"/>
      <c r="B687" s="5"/>
      <c r="D687"/>
      <c r="E687"/>
      <c r="F687" s="27"/>
      <c r="H687" s="2"/>
      <c r="I687" s="2"/>
      <c r="J687" s="2"/>
      <c r="K687" s="2"/>
      <c r="L687" s="2"/>
      <c r="M687" s="2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</row>
    <row r="688" spans="1:32" s="11" customFormat="1">
      <c r="A688" s="3"/>
      <c r="E688" s="27"/>
      <c r="F688" s="6"/>
      <c r="G688" s="19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8"/>
    </row>
    <row r="689" spans="1:32" s="11" customFormat="1">
      <c r="A689" s="20"/>
      <c r="B689" s="5"/>
      <c r="D689"/>
      <c r="E689" s="27"/>
      <c r="F689" s="6"/>
      <c r="G689" s="28"/>
      <c r="H689" s="2"/>
      <c r="I689" s="29"/>
      <c r="J689" s="28"/>
      <c r="L689"/>
      <c r="M689" s="28"/>
      <c r="N689"/>
      <c r="O689" s="28"/>
      <c r="P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</row>
    <row r="690" spans="1:32" s="11" customFormat="1">
      <c r="A690" s="20"/>
      <c r="B690" s="14"/>
      <c r="C690"/>
      <c r="D690"/>
      <c r="E690"/>
      <c r="F690"/>
      <c r="G690" s="28"/>
      <c r="H690" s="2"/>
      <c r="I690" s="29"/>
      <c r="J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</row>
    <row r="691" spans="1:32" s="11" customFormat="1">
      <c r="A691" s="14"/>
      <c r="E691" s="27"/>
      <c r="F691" s="6"/>
      <c r="G691" s="25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8"/>
    </row>
    <row r="692" spans="1:32" s="11" customFormat="1">
      <c r="A692" s="20"/>
      <c r="B692" s="5"/>
      <c r="D692"/>
      <c r="E692" s="27"/>
      <c r="F692" s="6"/>
      <c r="G692" s="28"/>
      <c r="H692"/>
      <c r="I692" s="29"/>
      <c r="K692" s="2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</row>
    <row r="693" spans="1:32" s="11" customFormat="1">
      <c r="A693" s="20"/>
      <c r="E693" s="27"/>
      <c r="F693" s="6"/>
      <c r="G693" s="25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8"/>
    </row>
    <row r="694" spans="1:32" s="11" customFormat="1">
      <c r="A694" s="20"/>
      <c r="B694" s="5"/>
      <c r="D694"/>
      <c r="E694" s="2"/>
      <c r="F694"/>
      <c r="G694" s="2"/>
      <c r="H694"/>
      <c r="J694" s="28"/>
      <c r="K694" s="2"/>
      <c r="L694" s="12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</row>
    <row r="695" spans="1:32" s="11" customFormat="1">
      <c r="A695" s="20"/>
      <c r="B695" s="16"/>
      <c r="E695" s="27"/>
      <c r="F695" s="6"/>
      <c r="G695" s="32"/>
      <c r="H695" s="33"/>
      <c r="I695" s="29"/>
      <c r="J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</row>
    <row r="696" spans="1:32">
      <c r="A696" s="20"/>
      <c r="G696" s="2"/>
      <c r="H696" s="2"/>
      <c r="I696" s="2"/>
      <c r="J696" s="10"/>
      <c r="K696" s="9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>
      <c r="A697" s="3"/>
      <c r="G697" s="19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"/>
    </row>
    <row r="698" spans="1:32">
      <c r="A698" s="3"/>
      <c r="C698" s="5"/>
      <c r="D698" s="11"/>
      <c r="G698" s="27"/>
      <c r="H698" s="11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>
      <c r="C699" s="5"/>
      <c r="D699" s="11"/>
      <c r="G699" s="27"/>
      <c r="H699" s="11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>
      <c r="A701" s="20"/>
      <c r="B701" s="5"/>
      <c r="C701" s="11"/>
      <c r="E701" s="12"/>
      <c r="F701" s="18"/>
      <c r="G701" s="19"/>
      <c r="H701" s="2"/>
      <c r="I701" s="2"/>
      <c r="J701" s="2"/>
      <c r="K701" s="9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>
      <c r="C702" s="11"/>
      <c r="E702" s="12"/>
      <c r="F702" s="18"/>
      <c r="G702" s="19"/>
      <c r="H702" s="2"/>
      <c r="I702" s="2"/>
      <c r="J702" s="2"/>
      <c r="K702" s="9"/>
      <c r="N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>
      <c r="A703" s="11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>
      <c r="A704" s="20"/>
      <c r="B704" s="5"/>
      <c r="G704" s="2"/>
      <c r="H704" s="2"/>
      <c r="I704" s="2"/>
      <c r="J704" s="10"/>
      <c r="K704" s="9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>
      <c r="A705" s="14"/>
      <c r="G705" s="2"/>
      <c r="H705" s="2"/>
      <c r="I705" s="2"/>
      <c r="J705" s="2"/>
      <c r="K705" s="9"/>
      <c r="N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>
      <c r="A706" s="11"/>
      <c r="F706" s="10"/>
      <c r="G706" s="25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"/>
    </row>
    <row r="707" spans="1:32">
      <c r="A707" s="20"/>
      <c r="B707" s="5"/>
      <c r="C707" s="11"/>
      <c r="E707" s="27"/>
      <c r="F707" s="6"/>
      <c r="G707" s="28"/>
      <c r="I707" s="29"/>
      <c r="J707" s="2"/>
      <c r="K707" s="9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>
      <c r="A708" s="22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>
      <c r="A709" s="20"/>
      <c r="C709" s="5"/>
      <c r="E709" s="12"/>
      <c r="F709" s="6"/>
      <c r="G709" s="19"/>
      <c r="H709" s="2"/>
      <c r="I709" s="2"/>
      <c r="J709" s="10"/>
      <c r="K709" s="9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>
      <c r="A710" s="14"/>
      <c r="C710" s="5"/>
      <c r="E710" s="12"/>
      <c r="F710" s="6"/>
      <c r="G710" s="19"/>
      <c r="H710" s="2"/>
      <c r="I710" s="2"/>
      <c r="K710" s="9"/>
      <c r="M710" s="1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>
      <c r="A711" s="14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>
      <c r="A712" s="20"/>
      <c r="E712" s="30"/>
      <c r="F712" s="6"/>
      <c r="G712" s="19"/>
      <c r="I712" s="2"/>
      <c r="J712" s="2"/>
      <c r="K712" s="9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>
      <c r="A713" s="14"/>
      <c r="C713" s="5"/>
      <c r="E713" s="12"/>
      <c r="F713" s="6"/>
      <c r="G713" s="19"/>
      <c r="H713" s="2"/>
      <c r="I713" s="2"/>
      <c r="K713" s="9"/>
      <c r="M713" s="1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>
      <c r="A714" s="14"/>
      <c r="B714" s="16"/>
      <c r="E714" s="12"/>
      <c r="F714" s="6"/>
      <c r="G714" s="32"/>
      <c r="H714" s="2"/>
      <c r="I714" s="2"/>
      <c r="K714" s="10"/>
      <c r="L714" s="9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>
      <c r="A715" s="3"/>
      <c r="E715" s="12"/>
      <c r="F715" s="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>
      <c r="A716" s="3"/>
      <c r="G716" s="19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"/>
    </row>
    <row r="717" spans="1:32">
      <c r="A717" s="3"/>
      <c r="C717" s="5"/>
      <c r="D717" s="11"/>
      <c r="G717" s="27"/>
      <c r="H717" s="11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>
      <c r="A719" s="20"/>
      <c r="B719" s="5"/>
      <c r="C719" s="11"/>
      <c r="E719" s="12"/>
      <c r="F719" s="18"/>
      <c r="G719" s="19"/>
      <c r="H719" s="2"/>
      <c r="I719" s="2"/>
      <c r="J719" s="2"/>
      <c r="K719" s="9"/>
      <c r="AF719" s="2"/>
    </row>
    <row r="720" spans="1:32">
      <c r="C720" s="11"/>
      <c r="E720" s="12"/>
      <c r="F720" s="18"/>
      <c r="G720" s="19"/>
      <c r="H720" s="2"/>
      <c r="I720" s="2"/>
      <c r="J720" s="2"/>
      <c r="K720" s="9"/>
      <c r="AF720" s="2"/>
    </row>
    <row r="721" spans="1:32">
      <c r="A721" s="11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>
      <c r="A722" s="20"/>
      <c r="B722" s="5"/>
      <c r="G722" s="2"/>
      <c r="H722" s="2"/>
      <c r="I722" s="2"/>
      <c r="J722" s="10"/>
      <c r="K722" s="9"/>
      <c r="AF722" s="2"/>
    </row>
    <row r="723" spans="1:32">
      <c r="A723" s="14"/>
      <c r="G723" s="2"/>
      <c r="H723" s="2"/>
      <c r="I723" s="2"/>
      <c r="J723" s="10"/>
      <c r="K723" s="9"/>
      <c r="AF723" s="2"/>
    </row>
    <row r="724" spans="1:32">
      <c r="A724" s="11"/>
      <c r="G724" s="25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"/>
    </row>
    <row r="725" spans="1:32">
      <c r="A725" s="20"/>
      <c r="B725" s="5"/>
      <c r="C725" s="11"/>
      <c r="E725" s="27"/>
      <c r="F725" s="6"/>
      <c r="G725" s="28"/>
      <c r="I725" s="29"/>
      <c r="J725" s="2"/>
      <c r="K725" s="9"/>
      <c r="AF725" s="2"/>
    </row>
    <row r="726" spans="1:32">
      <c r="A726" s="22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>
      <c r="A727" s="20"/>
      <c r="C727" s="5"/>
      <c r="E727" s="12"/>
      <c r="F727" s="6"/>
      <c r="G727" s="19"/>
      <c r="H727" s="2"/>
      <c r="I727" s="2"/>
      <c r="J727" s="10"/>
      <c r="K727" s="9"/>
      <c r="AF727" s="2"/>
    </row>
    <row r="728" spans="1:32">
      <c r="A728" s="14"/>
      <c r="C728" s="5"/>
      <c r="E728" s="12"/>
      <c r="F728" s="6"/>
      <c r="G728" s="19"/>
      <c r="H728" s="2"/>
      <c r="I728" s="2"/>
      <c r="K728" s="9"/>
      <c r="M728" s="10"/>
      <c r="AF728" s="2"/>
    </row>
    <row r="729" spans="1:32">
      <c r="A729" s="14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>
      <c r="A730" s="20"/>
      <c r="E730" s="30"/>
      <c r="F730" s="6"/>
      <c r="G730" s="19"/>
      <c r="I730" s="2"/>
      <c r="J730" s="2"/>
      <c r="K730" s="9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>
      <c r="A731" s="14"/>
      <c r="C731" s="5"/>
      <c r="E731" s="12"/>
      <c r="F731" s="6"/>
      <c r="G731" s="19"/>
      <c r="H731" s="2"/>
      <c r="I731" s="2"/>
      <c r="K731" s="9"/>
      <c r="M731" s="1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>
      <c r="A732" s="14"/>
      <c r="B732" s="16"/>
      <c r="E732" s="12"/>
      <c r="F732" s="6"/>
      <c r="G732" s="32"/>
      <c r="H732" s="2"/>
      <c r="I732" s="2"/>
      <c r="K732" s="10"/>
      <c r="L732" s="9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>
      <c r="A733" s="3"/>
      <c r="B733" s="16"/>
      <c r="E733" s="12"/>
      <c r="F733" s="6"/>
      <c r="G733" s="32"/>
      <c r="H733" s="2"/>
      <c r="I733" s="2"/>
      <c r="K733" s="10"/>
      <c r="L733" s="9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>
      <c r="A734" s="3"/>
      <c r="B734" s="30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2"/>
    </row>
    <row r="735" spans="1:32">
      <c r="A735" s="39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2"/>
    </row>
    <row r="736" spans="1:32">
      <c r="A736" s="3"/>
      <c r="B736" s="11"/>
      <c r="C736" s="11"/>
      <c r="D736" s="5"/>
      <c r="E736" s="12"/>
      <c r="F736" s="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>
      <c r="B737" s="11"/>
      <c r="C737" s="11"/>
      <c r="E737" s="12"/>
      <c r="F737" s="18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>
      <c r="A738" s="20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>
      <c r="A739" s="20"/>
      <c r="B739" s="16"/>
      <c r="G739" s="32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2"/>
    </row>
    <row r="740" spans="1:32">
      <c r="A740" s="20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>
      <c r="A741" s="3"/>
      <c r="B741" s="11"/>
      <c r="C741" s="11"/>
      <c r="D741" s="11"/>
      <c r="E741" s="14"/>
      <c r="F741" s="31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>
      <c r="A742" s="20"/>
      <c r="B742" s="5"/>
      <c r="C742" s="11"/>
      <c r="E742" s="12"/>
      <c r="F742" s="18"/>
      <c r="G742" s="19"/>
      <c r="H742" s="2"/>
      <c r="I742" s="2"/>
      <c r="J742" s="2"/>
      <c r="K742" s="26"/>
      <c r="L742" s="2"/>
      <c r="M742" s="2"/>
      <c r="N742" s="2"/>
      <c r="O742" s="26"/>
      <c r="P742" s="2"/>
      <c r="Q742" s="2"/>
      <c r="R742" s="26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>
      <c r="A743" s="5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>
      <c r="A744" s="20"/>
      <c r="B744" s="5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>
      <c r="A745" s="16"/>
      <c r="E745" s="12"/>
      <c r="F745" s="6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>
      <c r="A746" s="20"/>
      <c r="C746" s="5"/>
      <c r="E746" s="12"/>
      <c r="F746" s="6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>
      <c r="A747" s="20"/>
      <c r="E747" s="12"/>
      <c r="F747" s="6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>
      <c r="A748" s="20"/>
      <c r="E748" s="30"/>
      <c r="F748" s="6"/>
      <c r="G748" s="19"/>
      <c r="I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>
      <c r="A749" s="20"/>
      <c r="B749" s="16"/>
      <c r="E749" s="30"/>
      <c r="F749" s="6"/>
      <c r="G749" s="32"/>
      <c r="H749" s="3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>
      <c r="A750" s="20"/>
      <c r="E750" s="12"/>
      <c r="F750" s="6"/>
      <c r="G750" s="2"/>
      <c r="H750" s="2"/>
      <c r="I750" s="21"/>
      <c r="J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s="11" customFormat="1">
      <c r="A751" s="3"/>
      <c r="D751"/>
      <c r="E751" s="27"/>
      <c r="F751" s="18"/>
      <c r="G751" s="19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8"/>
    </row>
    <row r="752" spans="1:32" s="11" customFormat="1">
      <c r="A752" s="3"/>
      <c r="B752" s="5"/>
      <c r="D752"/>
      <c r="E752"/>
      <c r="F752" s="27"/>
      <c r="H752" s="2"/>
      <c r="I752" s="2"/>
      <c r="J752" s="2"/>
      <c r="K752" s="2"/>
      <c r="L752" s="2"/>
      <c r="M752" s="2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</row>
    <row r="753" spans="1:32" s="11" customFormat="1">
      <c r="A753" s="3"/>
      <c r="E753" s="27"/>
      <c r="F753" s="6"/>
      <c r="G753" s="19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8"/>
    </row>
    <row r="754" spans="1:32" s="11" customFormat="1">
      <c r="A754" s="20"/>
      <c r="B754" s="5"/>
      <c r="D754"/>
      <c r="E754" s="27"/>
      <c r="F754" s="6"/>
      <c r="G754" s="2"/>
      <c r="I754" s="29"/>
      <c r="J754" s="28"/>
      <c r="K754"/>
      <c r="M754" s="28"/>
      <c r="N754" s="2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</row>
    <row r="755" spans="1:32" s="11" customFormat="1">
      <c r="A755" s="20"/>
      <c r="B755" s="14"/>
      <c r="C755"/>
      <c r="D755"/>
      <c r="E755"/>
      <c r="F755"/>
      <c r="G755" s="28"/>
      <c r="H755" s="2"/>
      <c r="I755" s="29"/>
      <c r="J755" s="28"/>
      <c r="L755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</row>
    <row r="756" spans="1:32" s="11" customFormat="1">
      <c r="E756" s="21"/>
      <c r="F756" s="6"/>
      <c r="G756" s="25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8"/>
    </row>
    <row r="757" spans="1:32" s="11" customFormat="1">
      <c r="A757" s="20"/>
      <c r="B757" s="5"/>
      <c r="D757"/>
      <c r="E757" s="27"/>
      <c r="F757" s="6"/>
      <c r="G757" s="28"/>
      <c r="H757"/>
      <c r="I757" s="29"/>
      <c r="K757" s="2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</row>
    <row r="758" spans="1:32" s="11" customFormat="1">
      <c r="A758" s="20"/>
      <c r="E758" s="27"/>
      <c r="F758" s="6"/>
      <c r="G758" s="25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8"/>
    </row>
    <row r="759" spans="1:32">
      <c r="A759" s="20"/>
      <c r="B759" s="5"/>
      <c r="E759" s="2"/>
      <c r="G759" s="2"/>
      <c r="I759" s="11"/>
      <c r="J759" s="28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>
      <c r="B760" s="12"/>
      <c r="E760" s="12"/>
      <c r="F760" s="6"/>
      <c r="G760" s="32"/>
      <c r="H760" s="3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>
      <c r="B761" s="11"/>
      <c r="C761" s="14"/>
      <c r="E761" s="12"/>
      <c r="F761" s="6"/>
      <c r="G761" s="32"/>
      <c r="H761" s="3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>
      <c r="B762" s="16"/>
      <c r="E762" s="12"/>
      <c r="F762" s="6"/>
      <c r="G762" s="32"/>
      <c r="H762" s="3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s="11" customFormat="1">
      <c r="A764" s="3"/>
      <c r="E764" s="27"/>
      <c r="F764" s="6"/>
      <c r="G764" s="19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8"/>
    </row>
    <row r="765" spans="1:32" s="11" customFormat="1">
      <c r="A765" s="3"/>
      <c r="B765" s="5"/>
      <c r="D765"/>
      <c r="E765"/>
      <c r="F765" s="27"/>
      <c r="H765" s="2"/>
      <c r="I765" s="2"/>
      <c r="J765" s="2"/>
      <c r="K765" s="2"/>
      <c r="L765" s="2"/>
      <c r="M765" s="2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</row>
    <row r="766" spans="1:32" s="11" customFormat="1">
      <c r="A766" s="3"/>
      <c r="E766" s="27"/>
      <c r="F766" s="6"/>
      <c r="G766" s="19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8"/>
    </row>
    <row r="767" spans="1:32" s="11" customFormat="1">
      <c r="A767" s="20"/>
      <c r="B767" s="5"/>
      <c r="D767"/>
      <c r="E767" s="27"/>
      <c r="F767" s="6"/>
      <c r="G767" s="28"/>
      <c r="H767" s="2"/>
      <c r="I767" s="29"/>
      <c r="J767" s="28"/>
      <c r="L767"/>
      <c r="M767" s="28"/>
      <c r="N767"/>
      <c r="O767" s="28"/>
      <c r="P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</row>
    <row r="768" spans="1:32" s="11" customFormat="1">
      <c r="A768" s="20"/>
      <c r="B768" s="14"/>
      <c r="C768"/>
      <c r="D768"/>
      <c r="E768"/>
      <c r="F768"/>
      <c r="G768" s="28"/>
      <c r="H768" s="2"/>
      <c r="I768" s="29"/>
      <c r="J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</row>
    <row r="769" spans="1:32" s="11" customFormat="1">
      <c r="A769" s="14"/>
      <c r="E769" s="27"/>
      <c r="F769" s="6"/>
      <c r="G769" s="25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8"/>
    </row>
    <row r="770" spans="1:32" s="11" customFormat="1">
      <c r="A770" s="20"/>
      <c r="B770" s="5"/>
      <c r="D770"/>
      <c r="E770" s="27"/>
      <c r="F770" s="6"/>
      <c r="G770" s="28"/>
      <c r="H770"/>
      <c r="I770" s="29"/>
      <c r="K770" s="2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</row>
    <row r="771" spans="1:32" s="11" customFormat="1">
      <c r="A771" s="20"/>
      <c r="E771" s="27"/>
      <c r="F771" s="6"/>
      <c r="G771" s="25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8"/>
    </row>
    <row r="772" spans="1:32" s="11" customFormat="1">
      <c r="A772" s="20"/>
      <c r="B772" s="5"/>
      <c r="D772"/>
      <c r="E772" s="2"/>
      <c r="F772"/>
      <c r="G772" s="2"/>
      <c r="H772"/>
      <c r="J772" s="28"/>
      <c r="K772" s="2"/>
      <c r="L772" s="12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</row>
    <row r="773" spans="1:32" s="11" customFormat="1">
      <c r="A773" s="20"/>
      <c r="B773" s="16"/>
      <c r="E773" s="27"/>
      <c r="F773" s="6"/>
      <c r="G773" s="32"/>
      <c r="H773" s="33"/>
      <c r="I773" s="29"/>
      <c r="J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</row>
    <row r="774" spans="1:32">
      <c r="A774" s="20"/>
      <c r="G774" s="2"/>
      <c r="H774" s="2"/>
      <c r="I774" s="2"/>
      <c r="J774" s="10"/>
      <c r="K774" s="9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>
      <c r="A775" s="3"/>
      <c r="G775" s="19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"/>
    </row>
    <row r="776" spans="1:32">
      <c r="A776" s="3"/>
      <c r="C776" s="5"/>
      <c r="D776" s="11"/>
      <c r="G776" s="27"/>
      <c r="H776" s="11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>
      <c r="C777" s="5"/>
      <c r="D777" s="11"/>
      <c r="G777" s="27"/>
      <c r="H777" s="11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>
      <c r="A779" s="20"/>
      <c r="B779" s="5"/>
      <c r="C779" s="11"/>
      <c r="E779" s="12"/>
      <c r="F779" s="18"/>
      <c r="G779" s="19"/>
      <c r="H779" s="2"/>
      <c r="I779" s="2"/>
      <c r="J779" s="2"/>
      <c r="K779" s="9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>
      <c r="C780" s="11"/>
      <c r="E780" s="12"/>
      <c r="F780" s="18"/>
      <c r="G780" s="19"/>
      <c r="H780" s="2"/>
      <c r="I780" s="2"/>
      <c r="J780" s="2"/>
      <c r="K780" s="9"/>
      <c r="N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>
      <c r="A781" s="11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>
      <c r="A782" s="20"/>
      <c r="B782" s="5"/>
      <c r="G782" s="2"/>
      <c r="H782" s="2"/>
      <c r="I782" s="2"/>
      <c r="J782" s="10"/>
      <c r="K782" s="9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>
      <c r="A783" s="14"/>
      <c r="G783" s="2"/>
      <c r="H783" s="2"/>
      <c r="I783" s="2"/>
      <c r="J783" s="2"/>
      <c r="K783" s="9"/>
      <c r="N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>
      <c r="A784" s="11"/>
      <c r="F784" s="10"/>
      <c r="G784" s="25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"/>
    </row>
    <row r="785" spans="1:32">
      <c r="A785" s="20"/>
      <c r="B785" s="5"/>
      <c r="C785" s="11"/>
      <c r="E785" s="27"/>
      <c r="F785" s="6"/>
      <c r="G785" s="28"/>
      <c r="I785" s="29"/>
      <c r="J785" s="2"/>
      <c r="K785" s="9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>
      <c r="A786" s="22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>
      <c r="A787" s="20"/>
      <c r="C787" s="5"/>
      <c r="E787" s="12"/>
      <c r="F787" s="6"/>
      <c r="G787" s="19"/>
      <c r="H787" s="2"/>
      <c r="I787" s="2"/>
      <c r="J787" s="10"/>
      <c r="K787" s="9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>
      <c r="A788" s="14"/>
      <c r="C788" s="5"/>
      <c r="E788" s="12"/>
      <c r="F788" s="6"/>
      <c r="G788" s="19"/>
      <c r="H788" s="2"/>
      <c r="I788" s="2"/>
      <c r="K788" s="9"/>
      <c r="M788" s="1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>
      <c r="A789" s="14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>
      <c r="A790" s="20"/>
      <c r="E790" s="30"/>
      <c r="F790" s="6"/>
      <c r="G790" s="19"/>
      <c r="I790" s="2"/>
      <c r="J790" s="2"/>
      <c r="K790" s="9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>
      <c r="A791" s="14"/>
      <c r="C791" s="5"/>
      <c r="E791" s="12"/>
      <c r="F791" s="6"/>
      <c r="G791" s="19"/>
      <c r="H791" s="2"/>
      <c r="I791" s="2"/>
      <c r="K791" s="9"/>
      <c r="M791" s="1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>
      <c r="A792" s="14"/>
      <c r="B792" s="16"/>
      <c r="E792" s="12"/>
      <c r="F792" s="6"/>
      <c r="G792" s="32"/>
      <c r="H792" s="2"/>
      <c r="I792" s="2"/>
      <c r="K792" s="10"/>
      <c r="L792" s="9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>
      <c r="A793" s="3"/>
      <c r="E793" s="12"/>
      <c r="F793" s="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>
      <c r="A794" s="3"/>
      <c r="G794" s="19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"/>
    </row>
    <row r="795" spans="1:32">
      <c r="A795" s="3"/>
      <c r="C795" s="5"/>
      <c r="D795" s="11"/>
      <c r="G795" s="27"/>
      <c r="H795" s="11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>
      <c r="A797" s="20"/>
      <c r="B797" s="5"/>
      <c r="C797" s="11"/>
      <c r="E797" s="12"/>
      <c r="F797" s="18"/>
      <c r="G797" s="19"/>
      <c r="H797" s="2"/>
      <c r="I797" s="2"/>
      <c r="J797" s="2"/>
      <c r="K797" s="9"/>
      <c r="AF797" s="2"/>
    </row>
    <row r="798" spans="1:32">
      <c r="C798" s="11"/>
      <c r="E798" s="12"/>
      <c r="F798" s="18"/>
      <c r="G798" s="19"/>
      <c r="H798" s="2"/>
      <c r="I798" s="2"/>
      <c r="J798" s="2"/>
      <c r="K798" s="9"/>
      <c r="AF798" s="2"/>
    </row>
    <row r="799" spans="1:32">
      <c r="A799" s="11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>
      <c r="A800" s="20"/>
      <c r="B800" s="5"/>
      <c r="G800" s="2"/>
      <c r="H800" s="2"/>
      <c r="I800" s="2"/>
      <c r="J800" s="10"/>
      <c r="K800" s="9"/>
      <c r="AF800" s="2"/>
    </row>
    <row r="801" spans="1:32">
      <c r="A801" s="14"/>
      <c r="G801" s="2"/>
      <c r="H801" s="2"/>
      <c r="I801" s="2"/>
      <c r="J801" s="10"/>
      <c r="K801" s="9"/>
      <c r="AF801" s="2"/>
    </row>
    <row r="802" spans="1:32">
      <c r="A802" s="11"/>
      <c r="G802" s="25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"/>
    </row>
    <row r="803" spans="1:32">
      <c r="A803" s="20"/>
      <c r="B803" s="5"/>
      <c r="C803" s="11"/>
      <c r="E803" s="27"/>
      <c r="F803" s="6"/>
      <c r="G803" s="28"/>
      <c r="I803" s="29"/>
      <c r="J803" s="2"/>
      <c r="K803" s="9"/>
      <c r="AF803" s="2"/>
    </row>
    <row r="804" spans="1:32">
      <c r="A804" s="22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>
      <c r="A805" s="20"/>
      <c r="C805" s="5"/>
      <c r="E805" s="12"/>
      <c r="F805" s="6"/>
      <c r="G805" s="19"/>
      <c r="H805" s="2"/>
      <c r="I805" s="2"/>
      <c r="J805" s="10"/>
      <c r="K805" s="9"/>
      <c r="AF805" s="2"/>
    </row>
    <row r="806" spans="1:32">
      <c r="A806" s="14"/>
      <c r="C806" s="5"/>
      <c r="E806" s="12"/>
      <c r="F806" s="6"/>
      <c r="G806" s="19"/>
      <c r="H806" s="2"/>
      <c r="I806" s="2"/>
      <c r="K806" s="9"/>
      <c r="M806" s="10"/>
      <c r="AF806" s="2"/>
    </row>
    <row r="807" spans="1:32">
      <c r="A807" s="14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>
      <c r="A808" s="20"/>
      <c r="E808" s="30"/>
      <c r="F808" s="6"/>
      <c r="G808" s="19"/>
      <c r="I808" s="2"/>
      <c r="J808" s="2"/>
      <c r="K808" s="9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>
      <c r="A809" s="14"/>
      <c r="C809" s="5"/>
      <c r="E809" s="12"/>
      <c r="F809" s="6"/>
      <c r="G809" s="19"/>
      <c r="H809" s="2"/>
      <c r="I809" s="2"/>
      <c r="K809" s="9"/>
      <c r="M809" s="1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>
      <c r="A810" s="14"/>
      <c r="B810" s="16"/>
      <c r="E810" s="12"/>
      <c r="F810" s="6"/>
      <c r="G810" s="32"/>
      <c r="H810" s="2"/>
      <c r="I810" s="2"/>
      <c r="K810" s="10"/>
      <c r="L810" s="9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>
      <c r="A811" s="3"/>
      <c r="B811" s="16"/>
      <c r="E811" s="12"/>
      <c r="F811" s="6"/>
      <c r="G811" s="32"/>
      <c r="H811" s="2"/>
      <c r="I811" s="2"/>
      <c r="K811" s="10"/>
      <c r="L811" s="9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>
      <c r="A812" s="3"/>
      <c r="B812" s="30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2"/>
    </row>
    <row r="813" spans="1:32">
      <c r="A813" s="39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2"/>
    </row>
    <row r="814" spans="1:32">
      <c r="A814" s="3"/>
      <c r="B814" s="11"/>
      <c r="C814" s="11"/>
      <c r="D814" s="5"/>
      <c r="E814" s="12"/>
      <c r="F814" s="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>
      <c r="B815" s="11"/>
      <c r="C815" s="11"/>
      <c r="E815" s="12"/>
      <c r="F815" s="18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>
      <c r="A816" s="20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>
      <c r="A817" s="20"/>
      <c r="B817" s="16"/>
      <c r="G817" s="32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2"/>
    </row>
    <row r="818" spans="1:32">
      <c r="A818" s="20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>
      <c r="A819" s="3"/>
      <c r="B819" s="11"/>
      <c r="C819" s="11"/>
      <c r="D819" s="11"/>
      <c r="E819" s="14"/>
      <c r="F819" s="31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>
      <c r="A820" s="20"/>
      <c r="B820" s="5"/>
      <c r="C820" s="11"/>
      <c r="E820" s="12"/>
      <c r="F820" s="18"/>
      <c r="G820" s="19"/>
      <c r="H820" s="2"/>
      <c r="I820" s="2"/>
      <c r="J820" s="2"/>
      <c r="K820" s="26"/>
      <c r="L820" s="2"/>
      <c r="M820" s="2"/>
      <c r="N820" s="2"/>
      <c r="O820" s="26"/>
      <c r="P820" s="2"/>
      <c r="Q820" s="2"/>
      <c r="R820" s="26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>
      <c r="A821" s="5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>
      <c r="A822" s="20"/>
      <c r="B822" s="5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>
      <c r="A823" s="16"/>
      <c r="E823" s="12"/>
      <c r="F823" s="6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>
      <c r="A824" s="20"/>
      <c r="C824" s="5"/>
      <c r="E824" s="12"/>
      <c r="F824" s="6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>
      <c r="A825" s="20"/>
      <c r="E825" s="12"/>
      <c r="F825" s="6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>
      <c r="A826" s="20"/>
      <c r="E826" s="30"/>
      <c r="F826" s="6"/>
      <c r="G826" s="19"/>
      <c r="I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>
      <c r="A827" s="20"/>
      <c r="B827" s="16"/>
      <c r="E827" s="30"/>
      <c r="F827" s="6"/>
      <c r="G827" s="32"/>
      <c r="H827" s="3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>
      <c r="A828" s="20"/>
      <c r="E828" s="12"/>
      <c r="F828" s="6"/>
      <c r="G828" s="2"/>
      <c r="H828" s="2"/>
      <c r="I828" s="21"/>
      <c r="J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s="11" customFormat="1">
      <c r="A829" s="3"/>
      <c r="D829"/>
      <c r="E829" s="27"/>
      <c r="F829" s="18"/>
      <c r="G829" s="19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8"/>
    </row>
    <row r="830" spans="1:32" s="11" customFormat="1">
      <c r="A830" s="3"/>
      <c r="B830" s="5"/>
      <c r="D830"/>
      <c r="E830"/>
      <c r="F830" s="27"/>
      <c r="H830" s="2"/>
      <c r="I830" s="2"/>
      <c r="J830" s="2"/>
      <c r="K830" s="2"/>
      <c r="L830" s="2"/>
      <c r="M830" s="2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</row>
    <row r="831" spans="1:32" s="11" customFormat="1">
      <c r="A831" s="3"/>
      <c r="E831" s="27"/>
      <c r="F831" s="6"/>
      <c r="G831" s="19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8"/>
    </row>
    <row r="832" spans="1:32" s="11" customFormat="1">
      <c r="A832" s="20"/>
      <c r="B832" s="5"/>
      <c r="D832"/>
      <c r="E832" s="27"/>
      <c r="F832" s="6"/>
      <c r="G832" s="2"/>
      <c r="I832" s="29"/>
      <c r="J832" s="28"/>
      <c r="K832"/>
      <c r="M832" s="28"/>
      <c r="N832" s="2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</row>
    <row r="833" spans="1:32" s="11" customFormat="1">
      <c r="A833" s="20"/>
      <c r="B833" s="14"/>
      <c r="C833"/>
      <c r="D833"/>
      <c r="E833"/>
      <c r="F833"/>
      <c r="G833" s="28"/>
      <c r="H833" s="2"/>
      <c r="I833" s="29"/>
      <c r="J833" s="28"/>
      <c r="L833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</row>
    <row r="834" spans="1:32" s="11" customFormat="1">
      <c r="E834" s="21"/>
      <c r="F834" s="6"/>
      <c r="G834" s="25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8"/>
    </row>
    <row r="835" spans="1:32" s="11" customFormat="1">
      <c r="A835" s="20"/>
      <c r="B835" s="5"/>
      <c r="D835"/>
      <c r="E835" s="27"/>
      <c r="F835" s="6"/>
      <c r="G835" s="28"/>
      <c r="H835"/>
      <c r="I835" s="29"/>
      <c r="K835" s="2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</row>
    <row r="836" spans="1:32" s="11" customFormat="1">
      <c r="A836" s="20"/>
      <c r="E836" s="27"/>
      <c r="F836" s="6"/>
      <c r="G836" s="25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8"/>
    </row>
    <row r="837" spans="1:32">
      <c r="A837" s="20"/>
      <c r="B837" s="5"/>
      <c r="E837" s="2"/>
      <c r="G837" s="2"/>
      <c r="I837" s="11"/>
      <c r="J837" s="28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>
      <c r="B838" s="12"/>
      <c r="E838" s="12"/>
      <c r="F838" s="6"/>
      <c r="G838" s="32"/>
      <c r="H838" s="3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>
      <c r="B839" s="11"/>
      <c r="C839" s="14"/>
      <c r="E839" s="12"/>
      <c r="F839" s="6"/>
      <c r="G839" s="32"/>
      <c r="H839" s="3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>
      <c r="B840" s="16"/>
      <c r="E840" s="12"/>
      <c r="F840" s="6"/>
      <c r="G840" s="32"/>
      <c r="H840" s="3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s="11" customFormat="1">
      <c r="A842" s="3"/>
      <c r="E842" s="27"/>
      <c r="F842" s="6"/>
      <c r="G842" s="19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8"/>
    </row>
    <row r="843" spans="1:32" s="11" customFormat="1">
      <c r="A843" s="3"/>
      <c r="B843" s="5"/>
      <c r="D843"/>
      <c r="E843"/>
      <c r="F843" s="27"/>
      <c r="H843" s="2"/>
      <c r="I843" s="2"/>
      <c r="J843" s="2"/>
      <c r="K843" s="2"/>
      <c r="L843" s="2"/>
      <c r="M843" s="2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</row>
    <row r="844" spans="1:32" s="11" customFormat="1">
      <c r="A844" s="3"/>
      <c r="E844" s="27"/>
      <c r="F844" s="6"/>
      <c r="G844" s="19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8"/>
    </row>
    <row r="845" spans="1:32" s="11" customFormat="1">
      <c r="A845" s="20"/>
      <c r="B845" s="5"/>
      <c r="D845"/>
      <c r="E845" s="27"/>
      <c r="F845" s="6"/>
      <c r="G845" s="28"/>
      <c r="H845" s="2"/>
      <c r="I845" s="29"/>
      <c r="J845" s="28"/>
      <c r="L845"/>
      <c r="M845" s="28"/>
      <c r="N845"/>
      <c r="O845" s="28"/>
      <c r="P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</row>
    <row r="846" spans="1:32" s="11" customFormat="1">
      <c r="A846" s="20"/>
      <c r="B846" s="14"/>
      <c r="C846"/>
      <c r="D846"/>
      <c r="E846"/>
      <c r="F846"/>
      <c r="G846" s="28"/>
      <c r="H846" s="2"/>
      <c r="I846" s="29"/>
      <c r="J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</row>
    <row r="847" spans="1:32" s="11" customFormat="1">
      <c r="A847" s="14"/>
      <c r="E847" s="27"/>
      <c r="F847" s="6"/>
      <c r="G847" s="25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8"/>
    </row>
    <row r="848" spans="1:32" s="11" customFormat="1">
      <c r="A848" s="20"/>
      <c r="B848" s="5"/>
      <c r="D848"/>
      <c r="E848" s="27"/>
      <c r="F848" s="6"/>
      <c r="G848" s="28"/>
      <c r="H848"/>
      <c r="I848" s="29"/>
      <c r="K848" s="2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</row>
    <row r="849" spans="1:32" s="11" customFormat="1">
      <c r="A849" s="20"/>
      <c r="E849" s="27"/>
      <c r="F849" s="6"/>
      <c r="G849" s="25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8"/>
    </row>
    <row r="850" spans="1:32" s="11" customFormat="1">
      <c r="A850" s="20"/>
      <c r="B850" s="5"/>
      <c r="D850"/>
      <c r="E850" s="2"/>
      <c r="F850"/>
      <c r="G850" s="2"/>
      <c r="H850"/>
      <c r="J850" s="28"/>
      <c r="K850" s="2"/>
      <c r="L850" s="12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</row>
    <row r="851" spans="1:32" s="11" customFormat="1">
      <c r="A851" s="20"/>
      <c r="B851" s="16"/>
      <c r="E851" s="27"/>
      <c r="F851" s="6"/>
      <c r="G851" s="32"/>
      <c r="H851" s="33"/>
      <c r="I851" s="29"/>
      <c r="J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</row>
    <row r="852" spans="1:32">
      <c r="A852" s="20"/>
      <c r="G852" s="2"/>
      <c r="H852" s="2"/>
      <c r="I852" s="2"/>
      <c r="J852" s="10"/>
      <c r="K852" s="9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>
      <c r="A853" s="3"/>
      <c r="G853" s="19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"/>
    </row>
    <row r="854" spans="1:32">
      <c r="A854" s="3"/>
      <c r="C854" s="5"/>
      <c r="D854" s="11"/>
      <c r="G854" s="27"/>
      <c r="H854" s="11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>
      <c r="C855" s="5"/>
      <c r="D855" s="11"/>
      <c r="G855" s="27"/>
      <c r="H855" s="11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>
      <c r="A857" s="20"/>
      <c r="B857" s="5"/>
      <c r="C857" s="11"/>
      <c r="E857" s="12"/>
      <c r="F857" s="18"/>
      <c r="G857" s="19"/>
      <c r="H857" s="2"/>
      <c r="I857" s="2"/>
      <c r="J857" s="2"/>
      <c r="K857" s="9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>
      <c r="C858" s="11"/>
      <c r="E858" s="12"/>
      <c r="F858" s="18"/>
      <c r="G858" s="19"/>
      <c r="H858" s="2"/>
      <c r="I858" s="2"/>
      <c r="J858" s="2"/>
      <c r="K858" s="9"/>
      <c r="N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>
      <c r="A859" s="11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>
      <c r="A860" s="20"/>
      <c r="B860" s="5"/>
      <c r="G860" s="2"/>
      <c r="H860" s="2"/>
      <c r="I860" s="2"/>
      <c r="J860" s="10"/>
      <c r="K860" s="9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>
      <c r="A861" s="14"/>
      <c r="G861" s="2"/>
      <c r="H861" s="2"/>
      <c r="I861" s="2"/>
      <c r="J861" s="2"/>
      <c r="K861" s="9"/>
      <c r="N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>
      <c r="A862" s="11"/>
      <c r="F862" s="10"/>
      <c r="G862" s="25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"/>
    </row>
    <row r="863" spans="1:32">
      <c r="A863" s="20"/>
      <c r="B863" s="5"/>
      <c r="C863" s="11"/>
      <c r="E863" s="27"/>
      <c r="F863" s="6"/>
      <c r="G863" s="28"/>
      <c r="I863" s="29"/>
      <c r="J863" s="2"/>
      <c r="K863" s="9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>
      <c r="A864" s="22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>
      <c r="A865" s="20"/>
      <c r="C865" s="5"/>
      <c r="E865" s="12"/>
      <c r="F865" s="6"/>
      <c r="G865" s="19"/>
      <c r="H865" s="2"/>
      <c r="I865" s="2"/>
      <c r="J865" s="10"/>
      <c r="K865" s="9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>
      <c r="A866" s="14"/>
      <c r="C866" s="5"/>
      <c r="E866" s="12"/>
      <c r="F866" s="6"/>
      <c r="G866" s="19"/>
      <c r="H866" s="2"/>
      <c r="I866" s="2"/>
      <c r="K866" s="9"/>
      <c r="M866" s="10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>
      <c r="A867" s="14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>
      <c r="A868" s="20"/>
      <c r="E868" s="30"/>
      <c r="F868" s="6"/>
      <c r="G868" s="19"/>
      <c r="I868" s="2"/>
      <c r="J868" s="2"/>
      <c r="K868" s="9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>
      <c r="A869" s="14"/>
      <c r="C869" s="5"/>
      <c r="E869" s="12"/>
      <c r="F869" s="6"/>
      <c r="G869" s="19"/>
      <c r="H869" s="2"/>
      <c r="I869" s="2"/>
      <c r="K869" s="9"/>
      <c r="M869" s="10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>
      <c r="A870" s="14"/>
      <c r="B870" s="16"/>
      <c r="E870" s="12"/>
      <c r="F870" s="6"/>
      <c r="G870" s="32"/>
      <c r="H870" s="2"/>
      <c r="I870" s="2"/>
      <c r="K870" s="10"/>
      <c r="L870" s="9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>
      <c r="A871" s="3"/>
      <c r="E871" s="12"/>
      <c r="F871" s="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>
      <c r="A872" s="3"/>
      <c r="G872" s="19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"/>
    </row>
    <row r="873" spans="1:32">
      <c r="A873" s="3"/>
      <c r="C873" s="5"/>
      <c r="D873" s="11"/>
      <c r="G873" s="27"/>
      <c r="H873" s="11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>
      <c r="A875" s="20"/>
      <c r="B875" s="5"/>
      <c r="C875" s="11"/>
      <c r="E875" s="12"/>
      <c r="F875" s="18"/>
      <c r="G875" s="19"/>
      <c r="H875" s="2"/>
      <c r="I875" s="2"/>
      <c r="J875" s="2"/>
      <c r="K875" s="9"/>
      <c r="AF875" s="2"/>
    </row>
    <row r="876" spans="1:32">
      <c r="C876" s="11"/>
      <c r="E876" s="12"/>
      <c r="F876" s="18"/>
      <c r="G876" s="19"/>
      <c r="H876" s="2"/>
      <c r="I876" s="2"/>
      <c r="J876" s="2"/>
      <c r="K876" s="9"/>
      <c r="AF876" s="2"/>
    </row>
    <row r="877" spans="1:32">
      <c r="A877" s="11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>
      <c r="A878" s="20"/>
      <c r="B878" s="5"/>
      <c r="G878" s="2"/>
      <c r="H878" s="2"/>
      <c r="I878" s="2"/>
      <c r="J878" s="10"/>
      <c r="K878" s="9"/>
      <c r="AF878" s="2"/>
    </row>
    <row r="879" spans="1:32">
      <c r="A879" s="14"/>
      <c r="G879" s="2"/>
      <c r="H879" s="2"/>
      <c r="I879" s="2"/>
      <c r="J879" s="10"/>
      <c r="K879" s="9"/>
      <c r="AF879" s="2"/>
    </row>
    <row r="880" spans="1:32">
      <c r="A880" s="11"/>
      <c r="G880" s="25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"/>
    </row>
    <row r="881" spans="1:32">
      <c r="A881" s="20"/>
      <c r="B881" s="5"/>
      <c r="C881" s="11"/>
      <c r="E881" s="27"/>
      <c r="F881" s="6"/>
      <c r="G881" s="28"/>
      <c r="I881" s="29"/>
      <c r="J881" s="2"/>
      <c r="K881" s="9"/>
      <c r="AF881" s="2"/>
    </row>
    <row r="882" spans="1:32">
      <c r="A882" s="22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>
      <c r="A883" s="20"/>
      <c r="C883" s="5"/>
      <c r="E883" s="12"/>
      <c r="F883" s="6"/>
      <c r="G883" s="19"/>
      <c r="H883" s="2"/>
      <c r="I883" s="2"/>
      <c r="J883" s="10"/>
      <c r="K883" s="9"/>
      <c r="AF883" s="2"/>
    </row>
    <row r="884" spans="1:32">
      <c r="A884" s="14"/>
      <c r="C884" s="5"/>
      <c r="E884" s="12"/>
      <c r="F884" s="6"/>
      <c r="G884" s="19"/>
      <c r="H884" s="2"/>
      <c r="I884" s="2"/>
      <c r="K884" s="9"/>
      <c r="M884" s="10"/>
      <c r="AF884" s="2"/>
    </row>
    <row r="885" spans="1:32">
      <c r="A885" s="14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>
      <c r="A886" s="20"/>
      <c r="E886" s="30"/>
      <c r="F886" s="6"/>
      <c r="G886" s="19"/>
      <c r="I886" s="2"/>
      <c r="J886" s="2"/>
      <c r="K886" s="9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>
      <c r="A887" s="14"/>
      <c r="C887" s="5"/>
      <c r="E887" s="12"/>
      <c r="F887" s="6"/>
      <c r="G887" s="19"/>
      <c r="H887" s="2"/>
      <c r="I887" s="2"/>
      <c r="K887" s="9"/>
      <c r="M887" s="10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>
      <c r="A888" s="14"/>
      <c r="B888" s="16"/>
      <c r="E888" s="12"/>
      <c r="F888" s="6"/>
      <c r="G888" s="32"/>
      <c r="H888" s="2"/>
      <c r="I888" s="2"/>
      <c r="K888" s="10"/>
      <c r="L888" s="9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>
      <c r="A889" s="3"/>
      <c r="B889" s="16"/>
      <c r="E889" s="12"/>
      <c r="F889" s="6"/>
      <c r="G889" s="32"/>
      <c r="H889" s="2"/>
      <c r="I889" s="2"/>
      <c r="K889" s="10"/>
      <c r="L889" s="9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>
      <c r="A890" s="3"/>
      <c r="B890" s="30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2"/>
    </row>
    <row r="891" spans="1:32">
      <c r="A891" s="39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2"/>
    </row>
    <row r="892" spans="1:32">
      <c r="A892" s="3"/>
      <c r="B892" s="11"/>
      <c r="C892" s="11"/>
      <c r="D892" s="5"/>
      <c r="E892" s="12"/>
      <c r="F892" s="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>
      <c r="B893" s="11"/>
      <c r="C893" s="11"/>
      <c r="E893" s="12"/>
      <c r="F893" s="18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>
      <c r="A894" s="20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>
      <c r="A895" s="20"/>
      <c r="B895" s="16"/>
      <c r="G895" s="32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2"/>
    </row>
    <row r="896" spans="1:32">
      <c r="A896" s="20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>
      <c r="A897" s="3"/>
      <c r="B897" s="11"/>
      <c r="C897" s="11"/>
      <c r="D897" s="11"/>
      <c r="E897" s="14"/>
      <c r="F897" s="31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>
      <c r="A898" s="20"/>
      <c r="B898" s="5"/>
      <c r="C898" s="11"/>
      <c r="E898" s="12"/>
      <c r="F898" s="18"/>
      <c r="G898" s="19"/>
      <c r="H898" s="2"/>
      <c r="I898" s="2"/>
      <c r="J898" s="2"/>
      <c r="K898" s="26"/>
      <c r="L898" s="2"/>
      <c r="M898" s="2"/>
      <c r="N898" s="2"/>
      <c r="O898" s="26"/>
      <c r="P898" s="2"/>
      <c r="Q898" s="2"/>
      <c r="R898" s="26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>
      <c r="A899" s="5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>
      <c r="A900" s="20"/>
      <c r="B900" s="5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>
      <c r="A901" s="16"/>
      <c r="E901" s="12"/>
      <c r="F901" s="6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>
      <c r="A902" s="20"/>
      <c r="C902" s="5"/>
      <c r="E902" s="12"/>
      <c r="F902" s="6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>
      <c r="A903" s="20"/>
      <c r="E903" s="12"/>
      <c r="F903" s="6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>
      <c r="A904" s="20"/>
      <c r="E904" s="30"/>
      <c r="F904" s="6"/>
      <c r="G904" s="19"/>
      <c r="I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>
      <c r="A905" s="20"/>
      <c r="B905" s="16"/>
      <c r="E905" s="30"/>
      <c r="F905" s="6"/>
      <c r="G905" s="32"/>
      <c r="H905" s="3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>
      <c r="A906" s="20"/>
      <c r="E906" s="12"/>
      <c r="F906" s="6"/>
      <c r="G906" s="2"/>
      <c r="H906" s="2"/>
      <c r="I906" s="21"/>
      <c r="J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s="11" customFormat="1">
      <c r="A907" s="3"/>
      <c r="D907"/>
      <c r="E907" s="27"/>
      <c r="F907" s="18"/>
      <c r="G907" s="19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8"/>
    </row>
    <row r="908" spans="1:32" s="11" customFormat="1">
      <c r="A908" s="3"/>
      <c r="B908" s="5"/>
      <c r="D908"/>
      <c r="E908"/>
      <c r="F908" s="27"/>
      <c r="H908" s="2"/>
      <c r="I908" s="2"/>
      <c r="J908" s="2"/>
      <c r="K908" s="2"/>
      <c r="L908" s="2"/>
      <c r="M908" s="2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</row>
    <row r="909" spans="1:32" s="11" customFormat="1">
      <c r="A909" s="3"/>
      <c r="E909" s="27"/>
      <c r="F909" s="6"/>
      <c r="G909" s="19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8"/>
    </row>
    <row r="910" spans="1:32" s="11" customFormat="1">
      <c r="A910" s="20"/>
      <c r="B910" s="5"/>
      <c r="D910"/>
      <c r="E910" s="27"/>
      <c r="F910" s="6"/>
      <c r="G910" s="2"/>
      <c r="I910" s="29"/>
      <c r="J910" s="28"/>
      <c r="K910"/>
      <c r="M910" s="28"/>
      <c r="N910" s="2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</row>
    <row r="911" spans="1:32" s="11" customFormat="1">
      <c r="A911" s="20"/>
      <c r="B911" s="14"/>
      <c r="C911"/>
      <c r="D911"/>
      <c r="E911"/>
      <c r="F911"/>
      <c r="G911" s="28"/>
      <c r="H911" s="2"/>
      <c r="I911" s="29"/>
      <c r="J911" s="28"/>
      <c r="L911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</row>
    <row r="912" spans="1:32" s="11" customFormat="1">
      <c r="E912" s="21"/>
      <c r="F912" s="6"/>
      <c r="G912" s="25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8"/>
    </row>
    <row r="913" spans="1:32" s="11" customFormat="1">
      <c r="A913" s="20"/>
      <c r="B913" s="5"/>
      <c r="D913"/>
      <c r="E913" s="27"/>
      <c r="F913" s="6"/>
      <c r="G913" s="28"/>
      <c r="H913"/>
      <c r="I913" s="29"/>
      <c r="K913" s="2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</row>
    <row r="914" spans="1:32" s="11" customFormat="1">
      <c r="A914" s="20"/>
      <c r="E914" s="27"/>
      <c r="F914" s="6"/>
      <c r="G914" s="25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8"/>
    </row>
    <row r="915" spans="1:32">
      <c r="A915" s="20"/>
      <c r="B915" s="5"/>
      <c r="E915" s="2"/>
      <c r="G915" s="2"/>
      <c r="I915" s="11"/>
      <c r="J915" s="28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>
      <c r="B916" s="12"/>
      <c r="E916" s="12"/>
      <c r="F916" s="6"/>
      <c r="G916" s="32"/>
      <c r="H916" s="3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>
      <c r="B917" s="11"/>
      <c r="C917" s="14"/>
      <c r="E917" s="12"/>
      <c r="F917" s="6"/>
      <c r="G917" s="32"/>
      <c r="H917" s="3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>
      <c r="B918" s="16"/>
      <c r="E918" s="12"/>
      <c r="F918" s="6"/>
      <c r="G918" s="32"/>
      <c r="H918" s="3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s="11" customFormat="1">
      <c r="A920" s="3"/>
      <c r="E920" s="27"/>
      <c r="F920" s="6"/>
      <c r="G920" s="19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8"/>
    </row>
    <row r="921" spans="1:32" s="11" customFormat="1">
      <c r="A921" s="3"/>
      <c r="B921" s="5"/>
      <c r="D921"/>
      <c r="E921"/>
      <c r="F921" s="27"/>
      <c r="H921" s="2"/>
      <c r="I921" s="2"/>
      <c r="J921" s="2"/>
      <c r="K921" s="2"/>
      <c r="L921" s="2"/>
      <c r="M921" s="2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</row>
    <row r="922" spans="1:32" s="11" customFormat="1">
      <c r="A922" s="3"/>
      <c r="E922" s="27"/>
      <c r="F922" s="6"/>
      <c r="G922" s="19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8"/>
    </row>
    <row r="923" spans="1:32" s="11" customFormat="1">
      <c r="A923" s="20"/>
      <c r="B923" s="5"/>
      <c r="D923"/>
      <c r="E923" s="27"/>
      <c r="F923" s="6"/>
      <c r="G923" s="28"/>
      <c r="H923" s="2"/>
      <c r="I923" s="29"/>
      <c r="J923" s="28"/>
      <c r="L923"/>
      <c r="M923" s="28"/>
      <c r="N923"/>
      <c r="O923" s="28"/>
      <c r="P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</row>
    <row r="924" spans="1:32" s="11" customFormat="1">
      <c r="A924" s="20"/>
      <c r="B924" s="14"/>
      <c r="C924"/>
      <c r="D924"/>
      <c r="E924"/>
      <c r="F924"/>
      <c r="G924" s="28"/>
      <c r="H924" s="2"/>
      <c r="I924" s="29"/>
      <c r="J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</row>
    <row r="925" spans="1:32" s="11" customFormat="1">
      <c r="A925" s="14"/>
      <c r="E925" s="27"/>
      <c r="F925" s="6"/>
      <c r="G925" s="25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8"/>
    </row>
    <row r="926" spans="1:32" s="11" customFormat="1">
      <c r="A926" s="20"/>
      <c r="B926" s="5"/>
      <c r="D926"/>
      <c r="E926" s="27"/>
      <c r="F926" s="6"/>
      <c r="G926" s="28"/>
      <c r="H926"/>
      <c r="I926" s="29"/>
      <c r="K926" s="2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</row>
    <row r="927" spans="1:32" s="11" customFormat="1">
      <c r="A927" s="20"/>
      <c r="E927" s="27"/>
      <c r="F927" s="6"/>
      <c r="G927" s="25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8"/>
    </row>
    <row r="928" spans="1:32" s="11" customFormat="1">
      <c r="A928" s="20"/>
      <c r="B928" s="5"/>
      <c r="D928"/>
      <c r="E928" s="2"/>
      <c r="F928"/>
      <c r="G928" s="2"/>
      <c r="H928"/>
      <c r="J928" s="28"/>
      <c r="K928" s="2"/>
      <c r="L928" s="12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</row>
    <row r="929" spans="1:32" s="11" customFormat="1">
      <c r="A929" s="20"/>
      <c r="B929" s="16"/>
      <c r="E929" s="27"/>
      <c r="F929" s="6"/>
      <c r="G929" s="32"/>
      <c r="H929" s="33"/>
      <c r="I929" s="29"/>
      <c r="J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</row>
    <row r="930" spans="1:32">
      <c r="A930" s="20"/>
      <c r="G930" s="2"/>
      <c r="H930" s="2"/>
      <c r="I930" s="2"/>
      <c r="J930" s="10"/>
      <c r="K930" s="9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>
      <c r="A931" s="3"/>
      <c r="G931" s="19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"/>
    </row>
    <row r="932" spans="1:32">
      <c r="A932" s="3"/>
      <c r="C932" s="5"/>
      <c r="D932" s="11"/>
      <c r="G932" s="27"/>
      <c r="H932" s="11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>
      <c r="C933" s="5"/>
      <c r="D933" s="11"/>
      <c r="G933" s="27"/>
      <c r="H933" s="11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>
      <c r="A935" s="20"/>
      <c r="B935" s="5"/>
      <c r="C935" s="11"/>
      <c r="E935" s="12"/>
      <c r="F935" s="18"/>
      <c r="G935" s="19"/>
      <c r="H935" s="2"/>
      <c r="I935" s="2"/>
      <c r="J935" s="2"/>
      <c r="K935" s="9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>
      <c r="C936" s="11"/>
      <c r="E936" s="12"/>
      <c r="F936" s="18"/>
      <c r="G936" s="19"/>
      <c r="H936" s="2"/>
      <c r="I936" s="2"/>
      <c r="J936" s="2"/>
      <c r="K936" s="9"/>
      <c r="N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>
      <c r="A937" s="11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>
      <c r="A938" s="20"/>
      <c r="B938" s="5"/>
      <c r="G938" s="2"/>
      <c r="H938" s="2"/>
      <c r="I938" s="2"/>
      <c r="J938" s="10"/>
      <c r="K938" s="9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>
      <c r="A939" s="14"/>
      <c r="G939" s="2"/>
      <c r="H939" s="2"/>
      <c r="I939" s="2"/>
      <c r="J939" s="2"/>
      <c r="K939" s="9"/>
      <c r="N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>
      <c r="A940" s="11"/>
      <c r="F940" s="10"/>
      <c r="G940" s="25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"/>
    </row>
    <row r="941" spans="1:32">
      <c r="A941" s="20"/>
      <c r="B941" s="5"/>
      <c r="C941" s="11"/>
      <c r="E941" s="27"/>
      <c r="F941" s="6"/>
      <c r="G941" s="28"/>
      <c r="I941" s="29"/>
      <c r="J941" s="2"/>
      <c r="K941" s="9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>
      <c r="A942" s="22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>
      <c r="A943" s="20"/>
      <c r="C943" s="5"/>
      <c r="E943" s="12"/>
      <c r="F943" s="6"/>
      <c r="G943" s="19"/>
      <c r="H943" s="2"/>
      <c r="I943" s="2"/>
      <c r="J943" s="10"/>
      <c r="K943" s="9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>
      <c r="A944" s="14"/>
      <c r="C944" s="5"/>
      <c r="E944" s="12"/>
      <c r="F944" s="6"/>
      <c r="G944" s="19"/>
      <c r="H944" s="2"/>
      <c r="I944" s="2"/>
      <c r="K944" s="9"/>
      <c r="M944" s="10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>
      <c r="A945" s="14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>
      <c r="A946" s="20"/>
      <c r="E946" s="30"/>
      <c r="F946" s="6"/>
      <c r="G946" s="19"/>
      <c r="I946" s="2"/>
      <c r="J946" s="2"/>
      <c r="K946" s="9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>
      <c r="A947" s="14"/>
      <c r="C947" s="5"/>
      <c r="E947" s="12"/>
      <c r="F947" s="6"/>
      <c r="G947" s="19"/>
      <c r="H947" s="2"/>
      <c r="I947" s="2"/>
      <c r="K947" s="9"/>
      <c r="M947" s="10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>
      <c r="A948" s="14"/>
      <c r="B948" s="16"/>
      <c r="E948" s="12"/>
      <c r="F948" s="6"/>
      <c r="G948" s="32"/>
      <c r="H948" s="2"/>
      <c r="I948" s="2"/>
      <c r="K948" s="10"/>
      <c r="L948" s="9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>
      <c r="A949" s="3"/>
      <c r="E949" s="12"/>
      <c r="F949" s="6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>
      <c r="A950" s="3"/>
      <c r="G950" s="19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"/>
    </row>
    <row r="951" spans="1:32">
      <c r="A951" s="3"/>
      <c r="C951" s="5"/>
      <c r="D951" s="11"/>
      <c r="G951" s="27"/>
      <c r="H951" s="1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>
      <c r="A953" s="20"/>
      <c r="B953" s="5"/>
      <c r="C953" s="11"/>
      <c r="E953" s="12"/>
      <c r="F953" s="18"/>
      <c r="G953" s="19"/>
      <c r="H953" s="2"/>
      <c r="I953" s="2"/>
      <c r="J953" s="2"/>
      <c r="K953" s="9"/>
      <c r="AF953" s="2"/>
    </row>
    <row r="954" spans="1:32">
      <c r="C954" s="11"/>
      <c r="E954" s="12"/>
      <c r="F954" s="18"/>
      <c r="G954" s="19"/>
      <c r="H954" s="2"/>
      <c r="I954" s="2"/>
      <c r="J954" s="2"/>
      <c r="K954" s="9"/>
      <c r="AF954" s="2"/>
    </row>
    <row r="955" spans="1:32">
      <c r="A955" s="11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>
      <c r="A956" s="20"/>
      <c r="B956" s="5"/>
      <c r="G956" s="2"/>
      <c r="H956" s="2"/>
      <c r="I956" s="2"/>
      <c r="J956" s="10"/>
      <c r="K956" s="9"/>
      <c r="AF956" s="2"/>
    </row>
    <row r="957" spans="1:32">
      <c r="A957" s="14"/>
      <c r="G957" s="2"/>
      <c r="H957" s="2"/>
      <c r="I957" s="2"/>
      <c r="J957" s="10"/>
      <c r="K957" s="9"/>
      <c r="AF957" s="2"/>
    </row>
    <row r="958" spans="1:32">
      <c r="A958" s="11"/>
      <c r="G958" s="25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"/>
    </row>
    <row r="959" spans="1:32">
      <c r="A959" s="20"/>
      <c r="B959" s="5"/>
      <c r="C959" s="11"/>
      <c r="E959" s="27"/>
      <c r="F959" s="6"/>
      <c r="G959" s="28"/>
      <c r="I959" s="29"/>
      <c r="J959" s="2"/>
      <c r="K959" s="9"/>
      <c r="AF959" s="2"/>
    </row>
    <row r="960" spans="1:32">
      <c r="A960" s="22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>
      <c r="A961" s="20"/>
      <c r="C961" s="5"/>
      <c r="E961" s="12"/>
      <c r="F961" s="6"/>
      <c r="G961" s="19"/>
      <c r="H961" s="2"/>
      <c r="I961" s="2"/>
      <c r="J961" s="10"/>
      <c r="K961" s="9"/>
      <c r="AF961" s="2"/>
    </row>
    <row r="962" spans="1:32">
      <c r="A962" s="14"/>
      <c r="C962" s="5"/>
      <c r="E962" s="12"/>
      <c r="F962" s="6"/>
      <c r="G962" s="19"/>
      <c r="H962" s="2"/>
      <c r="I962" s="2"/>
      <c r="K962" s="9"/>
      <c r="M962" s="10"/>
      <c r="AF962" s="2"/>
    </row>
    <row r="963" spans="1:32">
      <c r="A963" s="14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>
      <c r="A964" s="20"/>
      <c r="E964" s="30"/>
      <c r="F964" s="6"/>
      <c r="G964" s="19"/>
      <c r="I964" s="2"/>
      <c r="J964" s="2"/>
      <c r="K964" s="9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>
      <c r="A965" s="14"/>
      <c r="C965" s="5"/>
      <c r="E965" s="12"/>
      <c r="F965" s="6"/>
      <c r="G965" s="19"/>
      <c r="H965" s="2"/>
      <c r="I965" s="2"/>
      <c r="K965" s="9"/>
      <c r="M965" s="10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>
      <c r="A966" s="14"/>
      <c r="B966" s="16"/>
      <c r="E966" s="12"/>
      <c r="F966" s="6"/>
      <c r="G966" s="32"/>
      <c r="H966" s="2"/>
      <c r="I966" s="2"/>
      <c r="K966" s="10"/>
      <c r="L966" s="9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>
      <c r="A967" s="3"/>
      <c r="B967" s="16"/>
      <c r="E967" s="12"/>
      <c r="F967" s="6"/>
      <c r="G967" s="32"/>
      <c r="H967" s="2"/>
      <c r="I967" s="2"/>
      <c r="K967" s="10"/>
      <c r="L967" s="9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>
      <c r="A968" s="3"/>
      <c r="B968" s="30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2"/>
    </row>
    <row r="969" spans="1:32">
      <c r="A969" s="39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2"/>
    </row>
    <row r="970" spans="1:32">
      <c r="A970" s="3"/>
      <c r="B970" s="11"/>
      <c r="C970" s="11"/>
      <c r="D970" s="5"/>
      <c r="E970" s="12"/>
      <c r="F970" s="6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>
      <c r="B971" s="11"/>
      <c r="C971" s="11"/>
      <c r="E971" s="12"/>
      <c r="F971" s="18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>
      <c r="A972" s="20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>
      <c r="A973" s="20"/>
      <c r="B973" s="16"/>
      <c r="G973" s="32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2"/>
    </row>
    <row r="974" spans="1:32">
      <c r="A974" s="20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>
      <c r="A975" s="3"/>
      <c r="B975" s="11"/>
      <c r="C975" s="11"/>
      <c r="D975" s="11"/>
      <c r="E975" s="14"/>
      <c r="F975" s="31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>
      <c r="A976" s="20"/>
      <c r="B976" s="5"/>
      <c r="C976" s="11"/>
      <c r="E976" s="12"/>
      <c r="F976" s="18"/>
      <c r="G976" s="19"/>
      <c r="H976" s="2"/>
      <c r="I976" s="2"/>
      <c r="J976" s="2"/>
      <c r="K976" s="26"/>
      <c r="L976" s="2"/>
      <c r="M976" s="2"/>
      <c r="N976" s="2"/>
      <c r="O976" s="26"/>
      <c r="P976" s="2"/>
      <c r="Q976" s="2"/>
      <c r="R976" s="26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>
      <c r="A977" s="5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>
      <c r="A978" s="20"/>
      <c r="B978" s="5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>
      <c r="A979" s="16"/>
      <c r="E979" s="12"/>
      <c r="F979" s="6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>
      <c r="A980" s="20"/>
      <c r="C980" s="5"/>
      <c r="E980" s="12"/>
      <c r="F980" s="6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>
      <c r="A981" s="20"/>
      <c r="E981" s="12"/>
      <c r="F981" s="6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>
      <c r="A982" s="20"/>
      <c r="E982" s="30"/>
      <c r="F982" s="6"/>
      <c r="G982" s="19"/>
      <c r="I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>
      <c r="A983" s="20"/>
      <c r="B983" s="16"/>
      <c r="E983" s="30"/>
      <c r="F983" s="6"/>
      <c r="G983" s="32"/>
      <c r="H983" s="3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>
      <c r="A984" s="20"/>
      <c r="E984" s="12"/>
      <c r="F984" s="6"/>
      <c r="G984" s="2"/>
      <c r="H984" s="2"/>
      <c r="I984" s="21"/>
      <c r="J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s="11" customFormat="1">
      <c r="A985" s="3"/>
      <c r="D985"/>
      <c r="E985" s="27"/>
      <c r="F985" s="18"/>
      <c r="G985" s="19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8"/>
    </row>
    <row r="986" spans="1:32" s="11" customFormat="1">
      <c r="A986" s="3"/>
      <c r="B986" s="5"/>
      <c r="D986"/>
      <c r="E986"/>
      <c r="F986" s="27"/>
      <c r="H986" s="2"/>
      <c r="I986" s="2"/>
      <c r="J986" s="2"/>
      <c r="K986" s="2"/>
      <c r="L986" s="2"/>
      <c r="M986" s="2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</row>
    <row r="987" spans="1:32" s="11" customFormat="1">
      <c r="A987" s="3"/>
      <c r="E987" s="27"/>
      <c r="F987" s="6"/>
      <c r="G987" s="19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8"/>
    </row>
    <row r="988" spans="1:32" s="11" customFormat="1">
      <c r="A988" s="20"/>
      <c r="B988" s="5"/>
      <c r="D988"/>
      <c r="E988" s="27"/>
      <c r="F988" s="6"/>
      <c r="G988" s="2"/>
      <c r="I988" s="29"/>
      <c r="J988" s="28"/>
      <c r="K988"/>
      <c r="M988" s="28"/>
      <c r="N988" s="2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</row>
    <row r="989" spans="1:32" s="11" customFormat="1">
      <c r="A989" s="20"/>
      <c r="B989" s="14"/>
      <c r="C989"/>
      <c r="D989"/>
      <c r="E989"/>
      <c r="F989"/>
      <c r="G989" s="28"/>
      <c r="H989" s="2"/>
      <c r="I989" s="29"/>
      <c r="J989" s="28"/>
      <c r="L989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</row>
    <row r="990" spans="1:32" s="11" customFormat="1">
      <c r="E990" s="21"/>
      <c r="F990" s="6"/>
      <c r="G990" s="25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8"/>
    </row>
    <row r="991" spans="1:32" s="11" customFormat="1">
      <c r="A991" s="20"/>
      <c r="B991" s="5"/>
      <c r="D991"/>
      <c r="E991" s="27"/>
      <c r="F991" s="6"/>
      <c r="G991" s="28"/>
      <c r="H991"/>
      <c r="I991" s="29"/>
      <c r="K991" s="2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</row>
    <row r="992" spans="1:32" s="11" customFormat="1">
      <c r="A992" s="20"/>
      <c r="E992" s="27"/>
      <c r="F992" s="6"/>
      <c r="G992" s="25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8"/>
    </row>
    <row r="993" spans="1:32">
      <c r="A993" s="20"/>
      <c r="B993" s="5"/>
      <c r="E993" s="2"/>
      <c r="G993" s="2"/>
      <c r="I993" s="11"/>
      <c r="J993" s="28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>
      <c r="B994" s="12"/>
      <c r="E994" s="12"/>
      <c r="F994" s="6"/>
      <c r="G994" s="32"/>
      <c r="H994" s="33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>
      <c r="B995" s="11"/>
      <c r="C995" s="14"/>
      <c r="E995" s="12"/>
      <c r="F995" s="6"/>
      <c r="G995" s="32"/>
      <c r="H995" s="33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>
      <c r="B996" s="16"/>
      <c r="E996" s="12"/>
      <c r="F996" s="6"/>
      <c r="G996" s="32"/>
      <c r="H996" s="33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s="11" customFormat="1">
      <c r="A998" s="3"/>
      <c r="E998" s="27"/>
      <c r="F998" s="6"/>
      <c r="G998" s="19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8"/>
    </row>
    <row r="999" spans="1:32" s="11" customFormat="1">
      <c r="A999" s="3"/>
      <c r="B999" s="5"/>
      <c r="D999"/>
      <c r="E999"/>
      <c r="F999" s="27"/>
      <c r="H999" s="2"/>
      <c r="I999" s="2"/>
      <c r="J999" s="2"/>
      <c r="K999" s="2"/>
      <c r="L999" s="2"/>
      <c r="M999" s="2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</row>
    <row r="1000" spans="1:32" s="11" customFormat="1">
      <c r="A1000" s="3"/>
      <c r="E1000" s="27"/>
      <c r="F1000" s="6"/>
      <c r="G1000" s="19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8"/>
    </row>
    <row r="1001" spans="1:32" s="11" customFormat="1">
      <c r="A1001" s="20"/>
      <c r="B1001" s="5"/>
      <c r="D1001"/>
      <c r="E1001" s="27"/>
      <c r="F1001" s="6"/>
      <c r="G1001" s="28"/>
      <c r="H1001" s="2"/>
      <c r="I1001" s="29"/>
      <c r="J1001" s="28"/>
      <c r="L1001"/>
      <c r="M1001" s="28"/>
      <c r="N1001"/>
      <c r="O1001" s="28"/>
      <c r="P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</row>
    <row r="1002" spans="1:32" s="11" customFormat="1">
      <c r="A1002" s="20"/>
      <c r="B1002" s="14"/>
      <c r="C1002"/>
      <c r="D1002"/>
      <c r="E1002"/>
      <c r="F1002"/>
      <c r="G1002" s="28"/>
      <c r="H1002" s="2"/>
      <c r="I1002" s="29"/>
      <c r="J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</row>
    <row r="1003" spans="1:32" s="11" customFormat="1">
      <c r="A1003" s="14"/>
      <c r="E1003" s="27"/>
      <c r="F1003" s="6"/>
      <c r="G1003" s="25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8"/>
    </row>
    <row r="1004" spans="1:32" s="11" customFormat="1">
      <c r="A1004" s="20"/>
      <c r="B1004" s="5"/>
      <c r="D1004"/>
      <c r="E1004" s="27"/>
      <c r="F1004" s="6"/>
      <c r="G1004" s="28"/>
      <c r="H1004"/>
      <c r="I1004" s="29"/>
      <c r="K1004" s="2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</row>
    <row r="1005" spans="1:32" s="11" customFormat="1">
      <c r="A1005" s="20"/>
      <c r="E1005" s="27"/>
      <c r="F1005" s="6"/>
      <c r="G1005" s="25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  <c r="AF1005" s="28"/>
    </row>
    <row r="1006" spans="1:32" s="11" customFormat="1">
      <c r="A1006" s="20"/>
      <c r="B1006" s="5"/>
      <c r="D1006"/>
      <c r="E1006" s="2"/>
      <c r="F1006"/>
      <c r="G1006" s="2"/>
      <c r="H1006"/>
      <c r="J1006" s="28"/>
      <c r="K1006" s="2"/>
      <c r="L1006" s="12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</row>
    <row r="1007" spans="1:32" s="11" customFormat="1">
      <c r="A1007" s="20"/>
      <c r="B1007" s="16"/>
      <c r="E1007" s="27"/>
      <c r="F1007" s="6"/>
      <c r="G1007" s="32"/>
      <c r="H1007" s="33"/>
      <c r="I1007" s="29"/>
      <c r="J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</row>
    <row r="1008" spans="1:32">
      <c r="A1008" s="20"/>
      <c r="G1008" s="2"/>
      <c r="H1008" s="2"/>
      <c r="I1008" s="2"/>
      <c r="J1008" s="10"/>
      <c r="K1008" s="9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</row>
    <row r="1009" spans="1:32">
      <c r="A1009" s="3"/>
      <c r="G1009" s="19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/>
      <c r="AF1009" s="2"/>
    </row>
    <row r="1010" spans="1:32">
      <c r="A1010" s="3"/>
      <c r="C1010" s="5"/>
      <c r="D1010" s="11"/>
      <c r="G1010" s="27"/>
      <c r="H1010" s="11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</row>
    <row r="1011" spans="1:32">
      <c r="C1011" s="5"/>
      <c r="D1011" s="11"/>
      <c r="G1011" s="27"/>
      <c r="H1011" s="11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</row>
    <row r="1012" spans="1:32">
      <c r="G1012" s="19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</row>
    <row r="1013" spans="1:32">
      <c r="A1013" s="20"/>
      <c r="B1013" s="5"/>
      <c r="C1013" s="11"/>
      <c r="E1013" s="12"/>
      <c r="F1013" s="18"/>
      <c r="G1013" s="19"/>
      <c r="H1013" s="2"/>
      <c r="I1013" s="2"/>
      <c r="J1013" s="2"/>
      <c r="K1013" s="9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</row>
    <row r="1014" spans="1:32">
      <c r="C1014" s="11"/>
      <c r="E1014" s="12"/>
      <c r="F1014" s="18"/>
      <c r="G1014" s="19"/>
      <c r="H1014" s="2"/>
      <c r="I1014" s="2"/>
      <c r="J1014" s="2"/>
      <c r="K1014" s="9"/>
      <c r="N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</row>
    <row r="1015" spans="1:32">
      <c r="A1015" s="11"/>
      <c r="G1015" s="19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</row>
    <row r="1016" spans="1:32">
      <c r="A1016" s="20"/>
      <c r="B1016" s="5"/>
      <c r="G1016" s="2"/>
      <c r="H1016" s="2"/>
      <c r="I1016" s="2"/>
      <c r="J1016" s="10"/>
      <c r="K1016" s="9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</row>
    <row r="1017" spans="1:32">
      <c r="A1017" s="14"/>
      <c r="G1017" s="2"/>
      <c r="H1017" s="2"/>
      <c r="I1017" s="2"/>
      <c r="J1017" s="2"/>
      <c r="K1017" s="9"/>
      <c r="N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</row>
    <row r="1018" spans="1:32">
      <c r="A1018" s="11"/>
      <c r="F1018" s="10"/>
      <c r="G1018" s="25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"/>
    </row>
    <row r="1019" spans="1:32">
      <c r="A1019" s="20"/>
      <c r="B1019" s="5"/>
      <c r="C1019" s="11"/>
      <c r="E1019" s="27"/>
      <c r="F1019" s="6"/>
      <c r="G1019" s="28"/>
      <c r="I1019" s="29"/>
      <c r="J1019" s="2"/>
      <c r="K1019" s="9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</row>
    <row r="1020" spans="1:32">
      <c r="A1020" s="22"/>
      <c r="G1020" s="19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</row>
    <row r="1021" spans="1:32">
      <c r="A1021" s="20"/>
      <c r="C1021" s="5"/>
      <c r="E1021" s="12"/>
      <c r="F1021" s="6"/>
      <c r="G1021" s="19"/>
      <c r="H1021" s="2"/>
      <c r="I1021" s="2"/>
      <c r="J1021" s="10"/>
      <c r="K1021" s="9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</row>
    <row r="1022" spans="1:32">
      <c r="A1022" s="14"/>
      <c r="C1022" s="5"/>
      <c r="E1022" s="12"/>
      <c r="F1022" s="6"/>
      <c r="G1022" s="19"/>
      <c r="H1022" s="2"/>
      <c r="I1022" s="2"/>
      <c r="K1022" s="9"/>
      <c r="M1022" s="10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</row>
    <row r="1023" spans="1:32">
      <c r="A1023" s="14"/>
      <c r="G1023" s="19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</row>
    <row r="1024" spans="1:32">
      <c r="A1024" s="20"/>
      <c r="E1024" s="30"/>
      <c r="F1024" s="6"/>
      <c r="G1024" s="19"/>
      <c r="I1024" s="2"/>
      <c r="J1024" s="2"/>
      <c r="K1024" s="9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</row>
    <row r="1025" spans="1:32">
      <c r="A1025" s="14"/>
      <c r="C1025" s="5"/>
      <c r="E1025" s="12"/>
      <c r="F1025" s="6"/>
      <c r="G1025" s="19"/>
      <c r="H1025" s="2"/>
      <c r="I1025" s="2"/>
      <c r="K1025" s="9"/>
      <c r="M1025" s="10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</row>
    <row r="1026" spans="1:32">
      <c r="A1026" s="14"/>
      <c r="B1026" s="16"/>
      <c r="E1026" s="12"/>
      <c r="F1026" s="6"/>
      <c r="G1026" s="32"/>
      <c r="H1026" s="2"/>
      <c r="I1026" s="2"/>
      <c r="K1026" s="10"/>
      <c r="L1026" s="9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</row>
    <row r="1027" spans="1:32">
      <c r="A1027" s="3"/>
      <c r="E1027" s="12"/>
      <c r="F1027" s="6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</row>
    <row r="1028" spans="1:32">
      <c r="A1028" s="3"/>
      <c r="G1028" s="19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  <c r="AE1028" s="24"/>
      <c r="AF1028" s="2"/>
    </row>
    <row r="1029" spans="1:32">
      <c r="A1029" s="3"/>
      <c r="C1029" s="5"/>
      <c r="D1029" s="11"/>
      <c r="G1029" s="27"/>
      <c r="H1029" s="11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</row>
    <row r="1030" spans="1:32">
      <c r="G1030" s="19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</row>
    <row r="1031" spans="1:32">
      <c r="A1031" s="20"/>
      <c r="B1031" s="5"/>
      <c r="C1031" s="11"/>
      <c r="E1031" s="12"/>
      <c r="F1031" s="18"/>
      <c r="G1031" s="19"/>
      <c r="H1031" s="2"/>
      <c r="I1031" s="2"/>
      <c r="J1031" s="2"/>
      <c r="K1031" s="9"/>
      <c r="AF1031" s="2"/>
    </row>
    <row r="1032" spans="1:32">
      <c r="C1032" s="11"/>
      <c r="E1032" s="12"/>
      <c r="F1032" s="18"/>
      <c r="G1032" s="19"/>
      <c r="H1032" s="2"/>
      <c r="I1032" s="2"/>
      <c r="J1032" s="2"/>
      <c r="K1032" s="9"/>
      <c r="AF1032" s="2"/>
    </row>
    <row r="1033" spans="1:32">
      <c r="A1033" s="11"/>
      <c r="G1033" s="19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</row>
    <row r="1034" spans="1:32">
      <c r="A1034" s="20"/>
      <c r="B1034" s="5"/>
      <c r="G1034" s="2"/>
      <c r="H1034" s="2"/>
      <c r="I1034" s="2"/>
      <c r="J1034" s="10"/>
      <c r="K1034" s="9"/>
      <c r="AF1034" s="2"/>
    </row>
    <row r="1035" spans="1:32">
      <c r="A1035" s="14"/>
      <c r="G1035" s="2"/>
      <c r="H1035" s="2"/>
      <c r="I1035" s="2"/>
      <c r="J1035" s="10"/>
      <c r="K1035" s="9"/>
      <c r="AF1035" s="2"/>
    </row>
    <row r="1036" spans="1:32">
      <c r="A1036" s="11"/>
      <c r="G1036" s="25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"/>
    </row>
    <row r="1037" spans="1:32">
      <c r="A1037" s="20"/>
      <c r="B1037" s="5"/>
      <c r="C1037" s="11"/>
      <c r="E1037" s="27"/>
      <c r="F1037" s="6"/>
      <c r="G1037" s="28"/>
      <c r="I1037" s="29"/>
      <c r="J1037" s="2"/>
      <c r="K1037" s="9"/>
      <c r="AF1037" s="2"/>
    </row>
    <row r="1038" spans="1:32">
      <c r="A1038" s="22"/>
      <c r="G1038" s="19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</row>
    <row r="1039" spans="1:32">
      <c r="A1039" s="20"/>
      <c r="C1039" s="5"/>
      <c r="E1039" s="12"/>
      <c r="F1039" s="6"/>
      <c r="G1039" s="19"/>
      <c r="H1039" s="2"/>
      <c r="I1039" s="2"/>
      <c r="J1039" s="10"/>
      <c r="K1039" s="9"/>
      <c r="AF1039" s="2"/>
    </row>
    <row r="1040" spans="1:32">
      <c r="A1040" s="14"/>
      <c r="C1040" s="5"/>
      <c r="E1040" s="12"/>
      <c r="F1040" s="6"/>
      <c r="G1040" s="19"/>
      <c r="H1040" s="2"/>
      <c r="I1040" s="2"/>
      <c r="K1040" s="9"/>
      <c r="M1040" s="10"/>
      <c r="AF1040" s="2"/>
    </row>
    <row r="1041" spans="1:32">
      <c r="A1041" s="14"/>
      <c r="G1041" s="19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</row>
    <row r="1042" spans="1:32">
      <c r="A1042" s="20"/>
      <c r="E1042" s="30"/>
      <c r="F1042" s="6"/>
      <c r="G1042" s="19"/>
      <c r="I1042" s="2"/>
      <c r="J1042" s="2"/>
      <c r="K1042" s="9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</row>
    <row r="1043" spans="1:32">
      <c r="A1043" s="14"/>
      <c r="C1043" s="5"/>
      <c r="E1043" s="12"/>
      <c r="F1043" s="6"/>
      <c r="G1043" s="19"/>
      <c r="H1043" s="2"/>
      <c r="I1043" s="2"/>
      <c r="K1043" s="9"/>
      <c r="M1043" s="10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</row>
    <row r="1044" spans="1:32">
      <c r="A1044" s="14"/>
      <c r="B1044" s="16"/>
      <c r="E1044" s="12"/>
      <c r="F1044" s="6"/>
      <c r="G1044" s="32"/>
      <c r="H1044" s="2"/>
      <c r="I1044" s="2"/>
      <c r="K1044" s="10"/>
      <c r="L1044" s="9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</row>
    <row r="1045" spans="1:32">
      <c r="A1045" s="3"/>
      <c r="B1045" s="16"/>
      <c r="E1045" s="12"/>
      <c r="F1045" s="6"/>
      <c r="G1045" s="32"/>
      <c r="H1045" s="2"/>
      <c r="I1045" s="2"/>
      <c r="K1045" s="10"/>
      <c r="L1045" s="9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</row>
    <row r="1046" spans="1:32">
      <c r="A1046" s="3"/>
      <c r="B1046" s="30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2"/>
    </row>
    <row r="1047" spans="1:32">
      <c r="A1047" s="39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2"/>
    </row>
    <row r="1048" spans="1:32">
      <c r="A1048" s="3"/>
      <c r="B1048" s="11"/>
      <c r="C1048" s="11"/>
      <c r="D1048" s="5"/>
      <c r="E1048" s="12"/>
      <c r="F1048" s="6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</row>
    <row r="1049" spans="1:32">
      <c r="B1049" s="11"/>
      <c r="C1049" s="11"/>
      <c r="E1049" s="12"/>
      <c r="F1049" s="18"/>
      <c r="G1049" s="19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</row>
    <row r="1050" spans="1:32">
      <c r="A1050" s="20"/>
      <c r="G1050" s="19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</row>
    <row r="1051" spans="1:32">
      <c r="A1051" s="20"/>
      <c r="B1051" s="16"/>
      <c r="G1051" s="32"/>
      <c r="H1051" s="33"/>
      <c r="I1051" s="33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F1051" s="2"/>
    </row>
    <row r="1052" spans="1:32">
      <c r="A1052" s="20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</row>
    <row r="1053" spans="1:32">
      <c r="A1053" s="3"/>
      <c r="B1053" s="11"/>
      <c r="C1053" s="11"/>
      <c r="D1053" s="11"/>
      <c r="E1053" s="14"/>
      <c r="F1053" s="31"/>
      <c r="G1053" s="19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</row>
    <row r="1054" spans="1:32">
      <c r="A1054" s="20"/>
      <c r="B1054" s="5"/>
      <c r="C1054" s="11"/>
      <c r="E1054" s="12"/>
      <c r="F1054" s="18"/>
      <c r="G1054" s="19"/>
      <c r="H1054" s="2"/>
      <c r="I1054" s="2"/>
      <c r="J1054" s="2"/>
      <c r="K1054" s="26"/>
      <c r="L1054" s="2"/>
      <c r="M1054" s="2"/>
      <c r="N1054" s="2"/>
      <c r="O1054" s="26"/>
      <c r="P1054" s="2"/>
      <c r="Q1054" s="2"/>
      <c r="R1054" s="26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</row>
    <row r="1055" spans="1:32">
      <c r="A1055" s="5"/>
      <c r="G1055" s="19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</row>
    <row r="1056" spans="1:32">
      <c r="A1056" s="20"/>
      <c r="B1056" s="5"/>
      <c r="G1056" s="19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</row>
    <row r="1057" spans="1:32">
      <c r="A1057" s="16"/>
      <c r="E1057" s="12"/>
      <c r="F1057" s="6"/>
      <c r="G1057" s="19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</row>
    <row r="1058" spans="1:32">
      <c r="A1058" s="20"/>
      <c r="C1058" s="5"/>
      <c r="E1058" s="12"/>
      <c r="F1058" s="6"/>
      <c r="G1058" s="19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</row>
    <row r="1059" spans="1:32">
      <c r="A1059" s="20"/>
      <c r="E1059" s="12"/>
      <c r="F1059" s="6"/>
      <c r="G1059" s="19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</row>
    <row r="1060" spans="1:32">
      <c r="A1060" s="20"/>
      <c r="E1060" s="30"/>
      <c r="F1060" s="6"/>
      <c r="G1060" s="19"/>
      <c r="I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</row>
    <row r="1061" spans="1:32">
      <c r="A1061" s="20"/>
      <c r="B1061" s="16"/>
      <c r="E1061" s="30"/>
      <c r="F1061" s="6"/>
      <c r="G1061" s="32"/>
      <c r="H1061" s="33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</row>
    <row r="1062" spans="1:32">
      <c r="A1062" s="20"/>
      <c r="E1062" s="12"/>
      <c r="F1062" s="6"/>
      <c r="G1062" s="2"/>
      <c r="H1062" s="2"/>
      <c r="I1062" s="21"/>
      <c r="J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</row>
    <row r="1063" spans="1:32" s="11" customFormat="1">
      <c r="A1063" s="3"/>
      <c r="D1063"/>
      <c r="E1063" s="27"/>
      <c r="F1063" s="18"/>
      <c r="G1063" s="19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8"/>
    </row>
    <row r="1064" spans="1:32" s="11" customFormat="1">
      <c r="A1064" s="3"/>
      <c r="B1064" s="5"/>
      <c r="D1064"/>
      <c r="E1064"/>
      <c r="F1064" s="27"/>
      <c r="H1064" s="2"/>
      <c r="I1064" s="2"/>
      <c r="J1064" s="2"/>
      <c r="K1064" s="2"/>
      <c r="L1064" s="2"/>
      <c r="M1064" s="2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</row>
    <row r="1065" spans="1:32" s="11" customFormat="1">
      <c r="A1065" s="3"/>
      <c r="E1065" s="27"/>
      <c r="F1065" s="6"/>
      <c r="G1065" s="19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  <c r="AE1065" s="24"/>
      <c r="AF1065" s="28"/>
    </row>
    <row r="1066" spans="1:32" s="11" customFormat="1">
      <c r="A1066" s="20"/>
      <c r="B1066" s="5"/>
      <c r="D1066"/>
      <c r="E1066" s="27"/>
      <c r="F1066" s="6"/>
      <c r="G1066" s="2"/>
      <c r="I1066" s="29"/>
      <c r="J1066" s="28"/>
      <c r="K1066"/>
      <c r="M1066" s="28"/>
      <c r="N1066" s="2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</row>
    <row r="1067" spans="1:32" s="11" customFormat="1">
      <c r="A1067" s="20"/>
      <c r="B1067" s="14"/>
      <c r="C1067"/>
      <c r="D1067"/>
      <c r="E1067"/>
      <c r="F1067"/>
      <c r="G1067" s="28"/>
      <c r="H1067" s="2"/>
      <c r="I1067" s="29"/>
      <c r="J1067" s="28"/>
      <c r="L1067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</row>
    <row r="1068" spans="1:32" s="11" customFormat="1">
      <c r="E1068" s="21"/>
      <c r="F1068" s="6"/>
      <c r="G1068" s="25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  <c r="AA1068" s="24"/>
      <c r="AB1068" s="24"/>
      <c r="AC1068" s="24"/>
      <c r="AD1068" s="24"/>
      <c r="AE1068" s="24"/>
      <c r="AF1068" s="28"/>
    </row>
    <row r="1069" spans="1:32" s="11" customFormat="1">
      <c r="A1069" s="20"/>
      <c r="B1069" s="5"/>
      <c r="D1069"/>
      <c r="E1069" s="27"/>
      <c r="F1069" s="6"/>
      <c r="G1069" s="28"/>
      <c r="H1069"/>
      <c r="I1069" s="29"/>
      <c r="K1069" s="2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</row>
    <row r="1070" spans="1:32" s="11" customFormat="1">
      <c r="A1070" s="20"/>
      <c r="E1070" s="27"/>
      <c r="F1070" s="6"/>
      <c r="G1070" s="25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4"/>
      <c r="AD1070" s="24"/>
      <c r="AE1070" s="24"/>
      <c r="AF1070" s="28"/>
    </row>
    <row r="1071" spans="1:32">
      <c r="A1071" s="20"/>
      <c r="B1071" s="5"/>
      <c r="E1071" s="2"/>
      <c r="G1071" s="2"/>
      <c r="I1071" s="11"/>
      <c r="J1071" s="28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</row>
    <row r="1072" spans="1:32">
      <c r="B1072" s="12"/>
      <c r="E1072" s="12"/>
      <c r="F1072" s="6"/>
      <c r="G1072" s="32"/>
      <c r="H1072" s="33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</row>
    <row r="1073" spans="1:32">
      <c r="B1073" s="11"/>
      <c r="C1073" s="14"/>
      <c r="E1073" s="12"/>
      <c r="F1073" s="6"/>
      <c r="G1073" s="32"/>
      <c r="H1073" s="33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</row>
    <row r="1074" spans="1:32">
      <c r="B1074" s="16"/>
      <c r="E1074" s="12"/>
      <c r="F1074" s="6"/>
      <c r="G1074" s="32"/>
      <c r="H1074" s="33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</row>
    <row r="1075" spans="1:32"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</row>
    <row r="1076" spans="1:32" s="11" customFormat="1">
      <c r="A1076" s="3"/>
      <c r="E1076" s="27"/>
      <c r="F1076" s="6"/>
      <c r="G1076" s="19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  <c r="AE1076" s="24"/>
      <c r="AF1076" s="28"/>
    </row>
    <row r="1077" spans="1:32" s="11" customFormat="1">
      <c r="A1077" s="3"/>
      <c r="B1077" s="5"/>
      <c r="D1077"/>
      <c r="E1077"/>
      <c r="F1077" s="27"/>
      <c r="H1077" s="2"/>
      <c r="I1077" s="2"/>
      <c r="J1077" s="2"/>
      <c r="K1077" s="2"/>
      <c r="L1077" s="2"/>
      <c r="M1077" s="2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</row>
    <row r="1078" spans="1:32" s="11" customFormat="1">
      <c r="A1078" s="3"/>
      <c r="E1078" s="27"/>
      <c r="F1078" s="6"/>
      <c r="G1078" s="19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8"/>
    </row>
    <row r="1079" spans="1:32" s="11" customFormat="1">
      <c r="A1079" s="20"/>
      <c r="B1079" s="5"/>
      <c r="D1079"/>
      <c r="E1079" s="27"/>
      <c r="F1079" s="6"/>
      <c r="G1079" s="28"/>
      <c r="H1079" s="2"/>
      <c r="I1079" s="29"/>
      <c r="J1079" s="28"/>
      <c r="L1079"/>
      <c r="M1079" s="28"/>
      <c r="N1079"/>
      <c r="O1079" s="28"/>
      <c r="P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</row>
    <row r="1080" spans="1:32" s="11" customFormat="1">
      <c r="A1080" s="20"/>
      <c r="B1080" s="14"/>
      <c r="C1080"/>
      <c r="D1080"/>
      <c r="E1080"/>
      <c r="F1080"/>
      <c r="G1080" s="28"/>
      <c r="H1080" s="2"/>
      <c r="I1080" s="29"/>
      <c r="J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</row>
    <row r="1081" spans="1:32" s="11" customFormat="1">
      <c r="A1081" s="14"/>
      <c r="E1081" s="27"/>
      <c r="F1081" s="6"/>
      <c r="G1081" s="25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  <c r="AE1081" s="24"/>
      <c r="AF1081" s="28"/>
    </row>
    <row r="1082" spans="1:32" s="11" customFormat="1">
      <c r="A1082" s="20"/>
      <c r="B1082" s="5"/>
      <c r="D1082"/>
      <c r="E1082" s="27"/>
      <c r="F1082" s="6"/>
      <c r="G1082" s="28"/>
      <c r="H1082"/>
      <c r="I1082" s="29"/>
      <c r="K1082" s="2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</row>
    <row r="1083" spans="1:32" s="11" customFormat="1">
      <c r="A1083" s="20"/>
      <c r="E1083" s="27"/>
      <c r="F1083" s="6"/>
      <c r="G1083" s="25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  <c r="AA1083" s="24"/>
      <c r="AB1083" s="24"/>
      <c r="AC1083" s="24"/>
      <c r="AD1083" s="24"/>
      <c r="AE1083" s="24"/>
      <c r="AF1083" s="28"/>
    </row>
    <row r="1084" spans="1:32" s="11" customFormat="1">
      <c r="A1084" s="20"/>
      <c r="B1084" s="5"/>
      <c r="D1084"/>
      <c r="E1084" s="2"/>
      <c r="F1084"/>
      <c r="G1084" s="2"/>
      <c r="H1084"/>
      <c r="J1084" s="28"/>
      <c r="K1084" s="2"/>
      <c r="L1084" s="12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</row>
    <row r="1085" spans="1:32" s="11" customFormat="1">
      <c r="A1085" s="20"/>
      <c r="B1085" s="16"/>
      <c r="E1085" s="27"/>
      <c r="F1085" s="6"/>
      <c r="G1085" s="32"/>
      <c r="H1085" s="33"/>
      <c r="I1085" s="29"/>
      <c r="J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</row>
    <row r="1086" spans="1:32">
      <c r="A1086" s="20"/>
      <c r="G1086" s="2"/>
      <c r="H1086" s="2"/>
      <c r="I1086" s="2"/>
      <c r="J1086" s="10"/>
      <c r="K1086" s="9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</row>
    <row r="1087" spans="1:32">
      <c r="A1087" s="3"/>
      <c r="G1087" s="19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  <c r="AE1087" s="24"/>
      <c r="AF1087" s="2"/>
    </row>
    <row r="1088" spans="1:32">
      <c r="A1088" s="3"/>
      <c r="C1088" s="5"/>
      <c r="D1088" s="11"/>
      <c r="G1088" s="27"/>
      <c r="H1088" s="11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</row>
    <row r="1089" spans="1:32">
      <c r="C1089" s="5"/>
      <c r="D1089" s="11"/>
      <c r="G1089" s="27"/>
      <c r="H1089" s="11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</row>
    <row r="1090" spans="1:32">
      <c r="G1090" s="19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</row>
    <row r="1091" spans="1:32">
      <c r="A1091" s="20"/>
      <c r="B1091" s="5"/>
      <c r="C1091" s="11"/>
      <c r="E1091" s="12"/>
      <c r="F1091" s="18"/>
      <c r="G1091" s="19"/>
      <c r="H1091" s="2"/>
      <c r="I1091" s="2"/>
      <c r="J1091" s="2"/>
      <c r="K1091" s="9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</row>
    <row r="1092" spans="1:32">
      <c r="C1092" s="11"/>
      <c r="E1092" s="12"/>
      <c r="F1092" s="18"/>
      <c r="G1092" s="19"/>
      <c r="H1092" s="2"/>
      <c r="I1092" s="2"/>
      <c r="J1092" s="2"/>
      <c r="K1092" s="9"/>
      <c r="N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</row>
    <row r="1093" spans="1:32">
      <c r="A1093" s="11"/>
      <c r="G1093" s="19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</row>
    <row r="1094" spans="1:32">
      <c r="A1094" s="20"/>
      <c r="B1094" s="5"/>
      <c r="G1094" s="2"/>
      <c r="H1094" s="2"/>
      <c r="I1094" s="2"/>
      <c r="J1094" s="10"/>
      <c r="K1094" s="9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</row>
    <row r="1095" spans="1:32">
      <c r="A1095" s="14"/>
      <c r="G1095" s="2"/>
      <c r="H1095" s="2"/>
      <c r="I1095" s="2"/>
      <c r="J1095" s="2"/>
      <c r="K1095" s="9"/>
      <c r="N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</row>
    <row r="1096" spans="1:32">
      <c r="A1096" s="11"/>
      <c r="F1096" s="10"/>
      <c r="G1096" s="25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  <c r="AE1096" s="24"/>
      <c r="AF1096" s="2"/>
    </row>
    <row r="1097" spans="1:32">
      <c r="A1097" s="20"/>
      <c r="B1097" s="5"/>
      <c r="C1097" s="11"/>
      <c r="E1097" s="27"/>
      <c r="F1097" s="6"/>
      <c r="G1097" s="28"/>
      <c r="I1097" s="29"/>
      <c r="J1097" s="2"/>
      <c r="K1097" s="9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</row>
    <row r="1098" spans="1:32">
      <c r="A1098" s="22"/>
      <c r="G1098" s="19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</row>
    <row r="1099" spans="1:32">
      <c r="A1099" s="20"/>
      <c r="C1099" s="5"/>
      <c r="E1099" s="12"/>
      <c r="F1099" s="6"/>
      <c r="G1099" s="19"/>
      <c r="H1099" s="2"/>
      <c r="I1099" s="2"/>
      <c r="J1099" s="10"/>
      <c r="K1099" s="9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</row>
    <row r="1100" spans="1:32">
      <c r="A1100" s="14"/>
      <c r="C1100" s="5"/>
      <c r="E1100" s="12"/>
      <c r="F1100" s="6"/>
      <c r="G1100" s="19"/>
      <c r="H1100" s="2"/>
      <c r="I1100" s="2"/>
      <c r="K1100" s="9"/>
      <c r="M1100" s="10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</row>
    <row r="1101" spans="1:32">
      <c r="A1101" s="14"/>
      <c r="G1101" s="19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</row>
    <row r="1102" spans="1:32">
      <c r="A1102" s="20"/>
      <c r="E1102" s="30"/>
      <c r="F1102" s="6"/>
      <c r="G1102" s="19"/>
      <c r="I1102" s="2"/>
      <c r="J1102" s="2"/>
      <c r="K1102" s="9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</row>
    <row r="1103" spans="1:32">
      <c r="A1103" s="14"/>
      <c r="C1103" s="5"/>
      <c r="E1103" s="12"/>
      <c r="F1103" s="6"/>
      <c r="G1103" s="19"/>
      <c r="H1103" s="2"/>
      <c r="I1103" s="2"/>
      <c r="K1103" s="9"/>
      <c r="M1103" s="10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</row>
    <row r="1104" spans="1:32">
      <c r="A1104" s="14"/>
      <c r="B1104" s="16"/>
      <c r="E1104" s="12"/>
      <c r="F1104" s="6"/>
      <c r="G1104" s="32"/>
      <c r="H1104" s="2"/>
      <c r="I1104" s="2"/>
      <c r="K1104" s="10"/>
      <c r="L1104" s="9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</row>
    <row r="1105" spans="1:32">
      <c r="A1105" s="3"/>
      <c r="E1105" s="12"/>
      <c r="F1105" s="6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</row>
    <row r="1106" spans="1:32">
      <c r="A1106" s="3"/>
      <c r="G1106" s="19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  <c r="AE1106" s="24"/>
      <c r="AF1106" s="2"/>
    </row>
    <row r="1107" spans="1:32">
      <c r="A1107" s="3"/>
      <c r="C1107" s="5"/>
      <c r="D1107" s="11"/>
      <c r="G1107" s="27"/>
      <c r="H1107" s="11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</row>
    <row r="1108" spans="1:32">
      <c r="G1108" s="19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</row>
    <row r="1109" spans="1:32">
      <c r="A1109" s="20"/>
      <c r="B1109" s="5"/>
      <c r="C1109" s="11"/>
      <c r="E1109" s="12"/>
      <c r="F1109" s="18"/>
      <c r="G1109" s="19"/>
      <c r="H1109" s="2"/>
      <c r="I1109" s="2"/>
      <c r="J1109" s="2"/>
      <c r="K1109" s="9"/>
      <c r="AF1109" s="2"/>
    </row>
    <row r="1110" spans="1:32">
      <c r="C1110" s="11"/>
      <c r="E1110" s="12"/>
      <c r="F1110" s="18"/>
      <c r="G1110" s="19"/>
      <c r="H1110" s="2"/>
      <c r="I1110" s="2"/>
      <c r="J1110" s="2"/>
      <c r="K1110" s="9"/>
      <c r="AF1110" s="2"/>
    </row>
    <row r="1111" spans="1:32">
      <c r="A1111" s="11"/>
      <c r="G1111" s="19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</row>
    <row r="1112" spans="1:32">
      <c r="A1112" s="20"/>
      <c r="B1112" s="5"/>
      <c r="G1112" s="2"/>
      <c r="H1112" s="2"/>
      <c r="I1112" s="2"/>
      <c r="J1112" s="10"/>
      <c r="K1112" s="9"/>
      <c r="AF1112" s="2"/>
    </row>
    <row r="1113" spans="1:32">
      <c r="A1113" s="14"/>
      <c r="G1113" s="2"/>
      <c r="H1113" s="2"/>
      <c r="I1113" s="2"/>
      <c r="J1113" s="10"/>
      <c r="K1113" s="9"/>
      <c r="AF1113" s="2"/>
    </row>
    <row r="1114" spans="1:32">
      <c r="A1114" s="11"/>
      <c r="G1114" s="25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  <c r="AE1114" s="24"/>
      <c r="AF1114" s="2"/>
    </row>
    <row r="1115" spans="1:32">
      <c r="A1115" s="20"/>
      <c r="B1115" s="5"/>
      <c r="C1115" s="11"/>
      <c r="E1115" s="27"/>
      <c r="F1115" s="6"/>
      <c r="G1115" s="28"/>
      <c r="I1115" s="29"/>
      <c r="J1115" s="2"/>
      <c r="K1115" s="9"/>
      <c r="AF1115" s="2"/>
    </row>
    <row r="1116" spans="1:32">
      <c r="A1116" s="22"/>
      <c r="G1116" s="19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</row>
    <row r="1117" spans="1:32">
      <c r="A1117" s="20"/>
      <c r="C1117" s="5"/>
      <c r="E1117" s="12"/>
      <c r="F1117" s="6"/>
      <c r="G1117" s="19"/>
      <c r="H1117" s="2"/>
      <c r="I1117" s="2"/>
      <c r="J1117" s="10"/>
      <c r="K1117" s="9"/>
      <c r="AF1117" s="2"/>
    </row>
    <row r="1118" spans="1:32">
      <c r="A1118" s="14"/>
      <c r="C1118" s="5"/>
      <c r="E1118" s="12"/>
      <c r="F1118" s="6"/>
      <c r="G1118" s="19"/>
      <c r="H1118" s="2"/>
      <c r="I1118" s="2"/>
      <c r="K1118" s="9"/>
      <c r="M1118" s="10"/>
      <c r="AF1118" s="2"/>
    </row>
    <row r="1119" spans="1:32">
      <c r="A1119" s="14"/>
      <c r="G1119" s="19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</row>
    <row r="1120" spans="1:32">
      <c r="A1120" s="20"/>
      <c r="E1120" s="30"/>
      <c r="F1120" s="6"/>
      <c r="G1120" s="19"/>
      <c r="I1120" s="2"/>
      <c r="J1120" s="2"/>
      <c r="K1120" s="9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</row>
    <row r="1121" spans="1:32">
      <c r="A1121" s="14"/>
      <c r="C1121" s="5"/>
      <c r="E1121" s="12"/>
      <c r="F1121" s="6"/>
      <c r="G1121" s="19"/>
      <c r="H1121" s="2"/>
      <c r="I1121" s="2"/>
      <c r="K1121" s="9"/>
      <c r="M1121" s="10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</row>
    <row r="1122" spans="1:32">
      <c r="A1122" s="14"/>
      <c r="B1122" s="16"/>
      <c r="E1122" s="12"/>
      <c r="F1122" s="6"/>
      <c r="G1122" s="32"/>
      <c r="H1122" s="2"/>
      <c r="I1122" s="2"/>
      <c r="K1122" s="10"/>
      <c r="L1122" s="9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</row>
    <row r="1123" spans="1:32">
      <c r="A1123" s="3"/>
      <c r="B1123" s="16"/>
      <c r="E1123" s="12"/>
      <c r="F1123" s="6"/>
      <c r="G1123" s="32"/>
      <c r="H1123" s="2"/>
      <c r="I1123" s="2"/>
      <c r="K1123" s="10"/>
      <c r="L1123" s="9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</row>
    <row r="1124" spans="1:32">
      <c r="A1124" s="3"/>
      <c r="B1124" s="30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2"/>
    </row>
    <row r="1125" spans="1:32">
      <c r="A1125" s="39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2"/>
    </row>
    <row r="1126" spans="1:32">
      <c r="A1126" s="3"/>
      <c r="B1126" s="11"/>
      <c r="C1126" s="11"/>
      <c r="D1126" s="5"/>
      <c r="E1126" s="12"/>
      <c r="F1126" s="6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</row>
    <row r="1127" spans="1:32">
      <c r="B1127" s="11"/>
      <c r="C1127" s="11"/>
      <c r="E1127" s="12"/>
      <c r="F1127" s="18"/>
      <c r="G1127" s="19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</row>
    <row r="1128" spans="1:32">
      <c r="A1128" s="20"/>
      <c r="G1128" s="19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</row>
    <row r="1129" spans="1:32">
      <c r="A1129" s="20"/>
      <c r="B1129" s="16"/>
      <c r="G1129" s="32"/>
      <c r="H1129" s="33"/>
      <c r="I1129" s="33"/>
      <c r="J1129" s="33"/>
      <c r="K1129" s="33"/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F1129" s="2"/>
    </row>
    <row r="1130" spans="1:32">
      <c r="A1130" s="20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</row>
    <row r="1131" spans="1:32">
      <c r="A1131" s="3"/>
      <c r="B1131" s="11"/>
      <c r="C1131" s="11"/>
      <c r="D1131" s="11"/>
      <c r="E1131" s="14"/>
      <c r="F1131" s="31"/>
      <c r="G1131" s="19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</row>
    <row r="1132" spans="1:32">
      <c r="A1132" s="20"/>
      <c r="B1132" s="5"/>
      <c r="C1132" s="11"/>
      <c r="E1132" s="12"/>
      <c r="F1132" s="18"/>
      <c r="G1132" s="19"/>
      <c r="H1132" s="2"/>
      <c r="I1132" s="2"/>
      <c r="J1132" s="2"/>
      <c r="K1132" s="26"/>
      <c r="L1132" s="2"/>
      <c r="M1132" s="2"/>
      <c r="N1132" s="2"/>
      <c r="O1132" s="26"/>
      <c r="P1132" s="2"/>
      <c r="Q1132" s="2"/>
      <c r="R1132" s="26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</row>
    <row r="1133" spans="1:32">
      <c r="A1133" s="5"/>
      <c r="G1133" s="19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</row>
    <row r="1134" spans="1:32">
      <c r="A1134" s="20"/>
      <c r="B1134" s="5"/>
      <c r="G1134" s="19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</row>
    <row r="1135" spans="1:32">
      <c r="A1135" s="16"/>
      <c r="E1135" s="12"/>
      <c r="F1135" s="6"/>
      <c r="G1135" s="19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</row>
    <row r="1136" spans="1:32">
      <c r="A1136" s="20"/>
      <c r="C1136" s="5"/>
      <c r="E1136" s="12"/>
      <c r="F1136" s="6"/>
      <c r="G1136" s="19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</row>
    <row r="1137" spans="1:32">
      <c r="A1137" s="20"/>
      <c r="E1137" s="12"/>
      <c r="F1137" s="6"/>
      <c r="G1137" s="19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</row>
    <row r="1138" spans="1:32">
      <c r="A1138" s="20"/>
      <c r="E1138" s="30"/>
      <c r="F1138" s="6"/>
      <c r="G1138" s="19"/>
      <c r="I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</row>
    <row r="1139" spans="1:32">
      <c r="A1139" s="20"/>
      <c r="B1139" s="16"/>
      <c r="E1139" s="30"/>
      <c r="F1139" s="6"/>
      <c r="G1139" s="32"/>
      <c r="H1139" s="33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</row>
    <row r="1140" spans="1:32">
      <c r="A1140" s="20"/>
      <c r="E1140" s="12"/>
      <c r="F1140" s="6"/>
      <c r="G1140" s="2"/>
      <c r="H1140" s="2"/>
      <c r="I1140" s="21"/>
      <c r="J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</row>
    <row r="1141" spans="1:32" s="11" customFormat="1">
      <c r="A1141" s="3"/>
      <c r="D1141"/>
      <c r="E1141" s="27"/>
      <c r="F1141" s="18"/>
      <c r="G1141" s="19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  <c r="AE1141" s="24"/>
      <c r="AF1141" s="28"/>
    </row>
    <row r="1142" spans="1:32" s="11" customFormat="1">
      <c r="A1142" s="3"/>
      <c r="B1142" s="5"/>
      <c r="D1142"/>
      <c r="E1142"/>
      <c r="F1142" s="27"/>
      <c r="H1142" s="2"/>
      <c r="I1142" s="2"/>
      <c r="J1142" s="2"/>
      <c r="K1142" s="2"/>
      <c r="L1142" s="2"/>
      <c r="M1142" s="2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  <c r="AE1142" s="28"/>
      <c r="AF1142" s="28"/>
    </row>
    <row r="1143" spans="1:32" s="11" customFormat="1">
      <c r="A1143" s="3"/>
      <c r="E1143" s="27"/>
      <c r="F1143" s="6"/>
      <c r="G1143" s="19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  <c r="AE1143" s="24"/>
      <c r="AF1143" s="28"/>
    </row>
    <row r="1144" spans="1:32" s="11" customFormat="1">
      <c r="A1144" s="20"/>
      <c r="B1144" s="5"/>
      <c r="D1144"/>
      <c r="E1144" s="27"/>
      <c r="F1144" s="6"/>
      <c r="G1144" s="2"/>
      <c r="I1144" s="29"/>
      <c r="J1144" s="28"/>
      <c r="K1144"/>
      <c r="M1144" s="28"/>
      <c r="N1144" s="2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  <c r="AE1144" s="28"/>
      <c r="AF1144" s="28"/>
    </row>
    <row r="1145" spans="1:32" s="11" customFormat="1">
      <c r="A1145" s="20"/>
      <c r="B1145" s="14"/>
      <c r="C1145"/>
      <c r="D1145"/>
      <c r="E1145"/>
      <c r="F1145"/>
      <c r="G1145" s="28"/>
      <c r="H1145" s="2"/>
      <c r="I1145" s="29"/>
      <c r="J1145" s="28"/>
      <c r="L1145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  <c r="AE1145" s="28"/>
      <c r="AF1145" s="28"/>
    </row>
    <row r="1146" spans="1:32" s="11" customFormat="1">
      <c r="E1146" s="21"/>
      <c r="F1146" s="6"/>
      <c r="G1146" s="25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8"/>
    </row>
    <row r="1147" spans="1:32" s="11" customFormat="1">
      <c r="A1147" s="20"/>
      <c r="B1147" s="5"/>
      <c r="D1147"/>
      <c r="E1147" s="27"/>
      <c r="F1147" s="6"/>
      <c r="G1147" s="28"/>
      <c r="H1147"/>
      <c r="I1147" s="29"/>
      <c r="K1147" s="2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  <c r="AE1147" s="28"/>
      <c r="AF1147" s="28"/>
    </row>
    <row r="1148" spans="1:32" s="11" customFormat="1">
      <c r="A1148" s="20"/>
      <c r="E1148" s="27"/>
      <c r="F1148" s="6"/>
      <c r="G1148" s="25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  <c r="AA1148" s="24"/>
      <c r="AB1148" s="24"/>
      <c r="AC1148" s="24"/>
      <c r="AD1148" s="24"/>
      <c r="AE1148" s="24"/>
      <c r="AF1148" s="28"/>
    </row>
    <row r="1149" spans="1:32">
      <c r="A1149" s="20"/>
      <c r="B1149" s="5"/>
      <c r="E1149" s="2"/>
      <c r="G1149" s="2"/>
      <c r="I1149" s="11"/>
      <c r="J1149" s="28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</row>
    <row r="1150" spans="1:32">
      <c r="B1150" s="12"/>
      <c r="E1150" s="12"/>
      <c r="F1150" s="6"/>
      <c r="G1150" s="32"/>
      <c r="H1150" s="33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</row>
    <row r="1151" spans="1:32">
      <c r="B1151" s="11"/>
      <c r="C1151" s="14"/>
      <c r="E1151" s="12"/>
      <c r="F1151" s="6"/>
      <c r="G1151" s="32"/>
      <c r="H1151" s="33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</row>
    <row r="1152" spans="1:32">
      <c r="B1152" s="16"/>
      <c r="E1152" s="12"/>
      <c r="F1152" s="6"/>
      <c r="G1152" s="32"/>
      <c r="H1152" s="33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</row>
    <row r="1153" spans="1:32"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</row>
    <row r="1154" spans="1:32" s="11" customFormat="1">
      <c r="A1154" s="3"/>
      <c r="E1154" s="27"/>
      <c r="F1154" s="6"/>
      <c r="G1154" s="19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28"/>
    </row>
    <row r="1155" spans="1:32" s="11" customFormat="1">
      <c r="A1155" s="3"/>
      <c r="B1155" s="5"/>
      <c r="D1155"/>
      <c r="E1155"/>
      <c r="F1155" s="27"/>
      <c r="H1155" s="2"/>
      <c r="I1155" s="2"/>
      <c r="J1155" s="2"/>
      <c r="K1155" s="2"/>
      <c r="L1155" s="2"/>
      <c r="M1155" s="2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  <c r="AE1155" s="28"/>
      <c r="AF1155" s="28"/>
    </row>
    <row r="1156" spans="1:32" s="11" customFormat="1">
      <c r="A1156" s="3"/>
      <c r="E1156" s="27"/>
      <c r="F1156" s="6"/>
      <c r="G1156" s="19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  <c r="AE1156" s="24"/>
      <c r="AF1156" s="28"/>
    </row>
    <row r="1157" spans="1:32" s="11" customFormat="1">
      <c r="A1157" s="20"/>
      <c r="B1157" s="5"/>
      <c r="D1157"/>
      <c r="E1157" s="27"/>
      <c r="F1157" s="6"/>
      <c r="G1157" s="28"/>
      <c r="H1157" s="2"/>
      <c r="I1157" s="29"/>
      <c r="J1157" s="28"/>
      <c r="L1157"/>
      <c r="M1157" s="28"/>
      <c r="N1157"/>
      <c r="O1157" s="28"/>
      <c r="P1157" s="28"/>
      <c r="R1157" s="28"/>
      <c r="S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  <c r="AE1157" s="28"/>
      <c r="AF1157" s="28"/>
    </row>
    <row r="1158" spans="1:32" s="11" customFormat="1">
      <c r="A1158" s="20"/>
      <c r="B1158" s="14"/>
      <c r="C1158"/>
      <c r="D1158"/>
      <c r="E1158"/>
      <c r="F1158"/>
      <c r="G1158" s="28"/>
      <c r="H1158" s="2"/>
      <c r="I1158" s="29"/>
      <c r="J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28"/>
      <c r="AF1158" s="28"/>
    </row>
    <row r="1159" spans="1:32" s="11" customFormat="1">
      <c r="A1159" s="14"/>
      <c r="E1159" s="27"/>
      <c r="F1159" s="6"/>
      <c r="G1159" s="25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4"/>
      <c r="AF1159" s="28"/>
    </row>
    <row r="1160" spans="1:32" s="11" customFormat="1">
      <c r="A1160" s="20"/>
      <c r="B1160" s="5"/>
      <c r="D1160"/>
      <c r="E1160" s="27"/>
      <c r="F1160" s="6"/>
      <c r="G1160" s="28"/>
      <c r="H1160"/>
      <c r="I1160" s="29"/>
      <c r="K1160" s="2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F1160" s="28"/>
    </row>
    <row r="1161" spans="1:32" s="11" customFormat="1">
      <c r="A1161" s="20"/>
      <c r="E1161" s="27"/>
      <c r="F1161" s="6"/>
      <c r="G1161" s="25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/>
      <c r="AE1161" s="24"/>
      <c r="AF1161" s="28"/>
    </row>
    <row r="1162" spans="1:32" s="11" customFormat="1">
      <c r="A1162" s="20"/>
      <c r="B1162" s="5"/>
      <c r="D1162"/>
      <c r="E1162" s="2"/>
      <c r="F1162"/>
      <c r="G1162" s="2"/>
      <c r="H1162"/>
      <c r="J1162" s="28"/>
      <c r="K1162" s="2"/>
      <c r="L1162" s="12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  <c r="AE1162" s="28"/>
      <c r="AF1162" s="28"/>
    </row>
    <row r="1163" spans="1:32" s="11" customFormat="1">
      <c r="A1163" s="20"/>
      <c r="B1163" s="16"/>
      <c r="E1163" s="27"/>
      <c r="F1163" s="6"/>
      <c r="G1163" s="32"/>
      <c r="H1163" s="33"/>
      <c r="I1163" s="29"/>
      <c r="J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  <c r="AE1163" s="28"/>
      <c r="AF1163" s="28"/>
    </row>
    <row r="1164" spans="1:32">
      <c r="A1164" s="20"/>
      <c r="G1164" s="2"/>
      <c r="H1164" s="2"/>
      <c r="I1164" s="2"/>
      <c r="J1164" s="10"/>
      <c r="K1164" s="9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</row>
    <row r="1165" spans="1:32">
      <c r="A1165" s="3"/>
      <c r="G1165" s="19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"/>
    </row>
    <row r="1166" spans="1:32">
      <c r="A1166" s="3"/>
      <c r="C1166" s="5"/>
      <c r="D1166" s="11"/>
      <c r="G1166" s="27"/>
      <c r="H1166" s="11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</row>
    <row r="1167" spans="1:32">
      <c r="C1167" s="5"/>
      <c r="D1167" s="11"/>
      <c r="G1167" s="27"/>
      <c r="H1167" s="11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</row>
    <row r="1168" spans="1:32">
      <c r="G1168" s="19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</row>
    <row r="1169" spans="1:32">
      <c r="A1169" s="20"/>
      <c r="B1169" s="5"/>
      <c r="C1169" s="11"/>
      <c r="E1169" s="12"/>
      <c r="F1169" s="18"/>
      <c r="G1169" s="19"/>
      <c r="H1169" s="2"/>
      <c r="I1169" s="2"/>
      <c r="J1169" s="2"/>
      <c r="K1169" s="9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</row>
    <row r="1170" spans="1:32">
      <c r="C1170" s="11"/>
      <c r="E1170" s="12"/>
      <c r="F1170" s="18"/>
      <c r="G1170" s="19"/>
      <c r="H1170" s="2"/>
      <c r="I1170" s="2"/>
      <c r="J1170" s="2"/>
      <c r="K1170" s="9"/>
      <c r="N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</row>
    <row r="1171" spans="1:32">
      <c r="A1171" s="11"/>
      <c r="G1171" s="19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</row>
    <row r="1172" spans="1:32">
      <c r="A1172" s="20"/>
      <c r="B1172" s="5"/>
      <c r="G1172" s="2"/>
      <c r="H1172" s="2"/>
      <c r="I1172" s="2"/>
      <c r="J1172" s="10"/>
      <c r="K1172" s="9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</row>
    <row r="1173" spans="1:32">
      <c r="A1173" s="14"/>
      <c r="G1173" s="2"/>
      <c r="H1173" s="2"/>
      <c r="I1173" s="2"/>
      <c r="J1173" s="2"/>
      <c r="K1173" s="9"/>
      <c r="N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</row>
    <row r="1174" spans="1:32">
      <c r="A1174" s="11"/>
      <c r="F1174" s="10"/>
      <c r="G1174" s="25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2"/>
    </row>
    <row r="1175" spans="1:32">
      <c r="A1175" s="20"/>
      <c r="B1175" s="5"/>
      <c r="C1175" s="11"/>
      <c r="E1175" s="27"/>
      <c r="F1175" s="6"/>
      <c r="G1175" s="28"/>
      <c r="I1175" s="29"/>
      <c r="J1175" s="2"/>
      <c r="K1175" s="9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</row>
    <row r="1176" spans="1:32">
      <c r="A1176" s="22"/>
      <c r="G1176" s="19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</row>
    <row r="1177" spans="1:32">
      <c r="A1177" s="20"/>
      <c r="C1177" s="5"/>
      <c r="E1177" s="12"/>
      <c r="F1177" s="6"/>
      <c r="G1177" s="19"/>
      <c r="H1177" s="2"/>
      <c r="I1177" s="2"/>
      <c r="J1177" s="10"/>
      <c r="K1177" s="9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</row>
    <row r="1178" spans="1:32">
      <c r="A1178" s="14"/>
      <c r="C1178" s="5"/>
      <c r="E1178" s="12"/>
      <c r="F1178" s="6"/>
      <c r="G1178" s="19"/>
      <c r="H1178" s="2"/>
      <c r="I1178" s="2"/>
      <c r="K1178" s="9"/>
      <c r="M1178" s="10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</row>
    <row r="1179" spans="1:32">
      <c r="A1179" s="14"/>
      <c r="G1179" s="19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</row>
    <row r="1180" spans="1:32">
      <c r="A1180" s="20"/>
      <c r="E1180" s="30"/>
      <c r="F1180" s="6"/>
      <c r="G1180" s="19"/>
      <c r="I1180" s="2"/>
      <c r="J1180" s="2"/>
      <c r="K1180" s="9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</row>
    <row r="1181" spans="1:32">
      <c r="A1181" s="14"/>
      <c r="C1181" s="5"/>
      <c r="E1181" s="12"/>
      <c r="F1181" s="6"/>
      <c r="G1181" s="19"/>
      <c r="H1181" s="2"/>
      <c r="I1181" s="2"/>
      <c r="K1181" s="9"/>
      <c r="M1181" s="10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</row>
    <row r="1182" spans="1:32">
      <c r="A1182" s="14"/>
      <c r="B1182" s="16"/>
      <c r="E1182" s="12"/>
      <c r="F1182" s="6"/>
      <c r="G1182" s="32"/>
      <c r="H1182" s="2"/>
      <c r="I1182" s="2"/>
      <c r="K1182" s="10"/>
      <c r="L1182" s="9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</row>
    <row r="1183" spans="1:32">
      <c r="A1183" s="3"/>
      <c r="E1183" s="12"/>
      <c r="F1183" s="6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</row>
    <row r="1184" spans="1:32">
      <c r="A1184" s="3"/>
      <c r="G1184" s="19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  <c r="AA1184" s="24"/>
      <c r="AB1184" s="24"/>
      <c r="AC1184" s="24"/>
      <c r="AD1184" s="24"/>
      <c r="AE1184" s="24"/>
      <c r="AF1184" s="2"/>
    </row>
    <row r="1185" spans="1:32">
      <c r="A1185" s="3"/>
      <c r="C1185" s="5"/>
      <c r="D1185" s="11"/>
      <c r="G1185" s="27"/>
      <c r="H1185" s="11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</row>
    <row r="1186" spans="1:32">
      <c r="G1186" s="19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</row>
    <row r="1187" spans="1:32">
      <c r="A1187" s="20"/>
      <c r="B1187" s="5"/>
      <c r="C1187" s="11"/>
      <c r="E1187" s="12"/>
      <c r="F1187" s="18"/>
      <c r="G1187" s="19"/>
      <c r="H1187" s="2"/>
      <c r="I1187" s="2"/>
      <c r="J1187" s="2"/>
      <c r="K1187" s="9"/>
      <c r="AF1187" s="2"/>
    </row>
    <row r="1188" spans="1:32">
      <c r="C1188" s="11"/>
      <c r="E1188" s="12"/>
      <c r="F1188" s="18"/>
      <c r="G1188" s="19"/>
      <c r="H1188" s="2"/>
      <c r="I1188" s="2"/>
      <c r="J1188" s="2"/>
      <c r="K1188" s="9"/>
      <c r="AF1188" s="2"/>
    </row>
    <row r="1189" spans="1:32">
      <c r="A1189" s="11"/>
      <c r="G1189" s="19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</row>
    <row r="1190" spans="1:32">
      <c r="A1190" s="20"/>
      <c r="B1190" s="5"/>
      <c r="G1190" s="2"/>
      <c r="H1190" s="2"/>
      <c r="I1190" s="2"/>
      <c r="J1190" s="10"/>
      <c r="K1190" s="9"/>
      <c r="AF1190" s="2"/>
    </row>
    <row r="1191" spans="1:32">
      <c r="A1191" s="14"/>
      <c r="G1191" s="2"/>
      <c r="H1191" s="2"/>
      <c r="I1191" s="2"/>
      <c r="J1191" s="10"/>
      <c r="K1191" s="9"/>
      <c r="AF1191" s="2"/>
    </row>
    <row r="1192" spans="1:32">
      <c r="A1192" s="11"/>
      <c r="G1192" s="25"/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  <c r="V1192" s="24"/>
      <c r="W1192" s="24"/>
      <c r="X1192" s="24"/>
      <c r="Y1192" s="24"/>
      <c r="Z1192" s="24"/>
      <c r="AA1192" s="24"/>
      <c r="AB1192" s="24"/>
      <c r="AC1192" s="24"/>
      <c r="AD1192" s="24"/>
      <c r="AE1192" s="24"/>
      <c r="AF1192" s="2"/>
    </row>
    <row r="1193" spans="1:32">
      <c r="A1193" s="20"/>
      <c r="B1193" s="5"/>
      <c r="C1193" s="11"/>
      <c r="E1193" s="27"/>
      <c r="F1193" s="6"/>
      <c r="G1193" s="28"/>
      <c r="I1193" s="29"/>
      <c r="J1193" s="2"/>
      <c r="K1193" s="9"/>
      <c r="AF1193" s="2"/>
    </row>
    <row r="1194" spans="1:32">
      <c r="A1194" s="22"/>
      <c r="G1194" s="19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</row>
    <row r="1195" spans="1:32">
      <c r="A1195" s="20"/>
      <c r="C1195" s="5"/>
      <c r="E1195" s="12"/>
      <c r="F1195" s="6"/>
      <c r="G1195" s="19"/>
      <c r="H1195" s="2"/>
      <c r="I1195" s="2"/>
      <c r="J1195" s="10"/>
      <c r="K1195" s="9"/>
      <c r="AF1195" s="2"/>
    </row>
    <row r="1196" spans="1:32">
      <c r="A1196" s="14"/>
      <c r="C1196" s="5"/>
      <c r="E1196" s="12"/>
      <c r="F1196" s="6"/>
      <c r="G1196" s="19"/>
      <c r="H1196" s="2"/>
      <c r="I1196" s="2"/>
      <c r="K1196" s="9"/>
      <c r="M1196" s="10"/>
      <c r="AF1196" s="2"/>
    </row>
    <row r="1197" spans="1:32">
      <c r="A1197" s="14"/>
      <c r="G1197" s="19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</row>
    <row r="1198" spans="1:32">
      <c r="A1198" s="20"/>
      <c r="E1198" s="30"/>
      <c r="F1198" s="6"/>
      <c r="G1198" s="19"/>
      <c r="I1198" s="2"/>
      <c r="J1198" s="2"/>
      <c r="K1198" s="9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</row>
    <row r="1199" spans="1:32">
      <c r="A1199" s="14"/>
      <c r="C1199" s="5"/>
      <c r="E1199" s="12"/>
      <c r="F1199" s="6"/>
      <c r="G1199" s="19"/>
      <c r="H1199" s="2"/>
      <c r="I1199" s="2"/>
      <c r="K1199" s="9"/>
      <c r="M1199" s="10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</row>
    <row r="1200" spans="1:32">
      <c r="A1200" s="14"/>
      <c r="B1200" s="16"/>
      <c r="E1200" s="12"/>
      <c r="F1200" s="6"/>
      <c r="G1200" s="32"/>
      <c r="H1200" s="2"/>
      <c r="I1200" s="2"/>
      <c r="K1200" s="10"/>
      <c r="L1200" s="9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</row>
    <row r="1201" spans="1:32">
      <c r="A1201" s="3"/>
    </row>
    <row r="1202" spans="1:32">
      <c r="B1202" s="30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2"/>
    </row>
    <row r="1203" spans="1:32">
      <c r="A1203" s="39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2"/>
    </row>
    <row r="1204" spans="1:32">
      <c r="A1204" s="3"/>
      <c r="B1204" s="11"/>
      <c r="C1204" s="11"/>
      <c r="D1204" s="5"/>
      <c r="E1204" s="12"/>
      <c r="F1204" s="6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</row>
    <row r="1205" spans="1:32">
      <c r="B1205" s="11"/>
      <c r="C1205" s="11"/>
      <c r="E1205" s="12"/>
      <c r="F1205" s="18"/>
      <c r="G1205" s="19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</row>
    <row r="1206" spans="1:32">
      <c r="A1206" s="20"/>
      <c r="G1206" s="19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</row>
    <row r="1207" spans="1:32">
      <c r="A1207" s="20"/>
      <c r="B1207" s="16"/>
      <c r="G1207" s="32"/>
      <c r="H1207" s="33"/>
      <c r="I1207" s="33"/>
      <c r="J1207" s="33"/>
      <c r="K1207" s="33"/>
      <c r="L1207" s="33"/>
      <c r="M1207" s="33"/>
      <c r="N1207" s="33"/>
      <c r="O1207" s="33"/>
      <c r="P1207" s="33"/>
      <c r="Q1207" s="33"/>
      <c r="R1207" s="33"/>
      <c r="S1207" s="33"/>
      <c r="T1207" s="33"/>
      <c r="U1207" s="33"/>
      <c r="V1207" s="33"/>
      <c r="W1207" s="33"/>
      <c r="X1207" s="33"/>
      <c r="Y1207" s="33"/>
      <c r="Z1207" s="33"/>
      <c r="AA1207" s="33"/>
      <c r="AB1207" s="33"/>
      <c r="AC1207" s="33"/>
      <c r="AD1207" s="33"/>
      <c r="AE1207" s="33"/>
      <c r="AF1207" s="2"/>
    </row>
    <row r="1208" spans="1:32">
      <c r="A1208" s="20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</row>
    <row r="1209" spans="1:32">
      <c r="A1209" s="3"/>
      <c r="B1209" s="11"/>
      <c r="C1209" s="11"/>
      <c r="D1209" s="11"/>
      <c r="E1209" s="14"/>
      <c r="F1209" s="31"/>
      <c r="G1209" s="19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</row>
    <row r="1210" spans="1:32">
      <c r="A1210" s="20"/>
      <c r="B1210" s="5"/>
      <c r="C1210" s="11"/>
      <c r="E1210" s="12"/>
      <c r="F1210" s="18"/>
      <c r="G1210" s="19"/>
      <c r="H1210" s="2"/>
      <c r="I1210" s="2"/>
      <c r="J1210" s="2"/>
      <c r="K1210" s="26"/>
      <c r="L1210" s="2"/>
      <c r="M1210" s="2"/>
      <c r="N1210" s="2"/>
      <c r="O1210" s="26"/>
      <c r="P1210" s="2"/>
      <c r="Q1210" s="2"/>
      <c r="R1210" s="26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</row>
    <row r="1211" spans="1:32">
      <c r="A1211" s="5"/>
      <c r="G1211" s="19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</row>
    <row r="1212" spans="1:32">
      <c r="A1212" s="20"/>
      <c r="B1212" s="5"/>
      <c r="G1212" s="19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</row>
    <row r="1213" spans="1:32">
      <c r="A1213" s="16"/>
      <c r="E1213" s="12"/>
      <c r="F1213" s="6"/>
      <c r="G1213" s="19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</row>
    <row r="1214" spans="1:32">
      <c r="A1214" s="20"/>
      <c r="C1214" s="5"/>
      <c r="E1214" s="12"/>
      <c r="F1214" s="6"/>
      <c r="G1214" s="19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</row>
    <row r="1215" spans="1:32">
      <c r="A1215" s="20"/>
      <c r="E1215" s="12"/>
      <c r="F1215" s="6"/>
      <c r="G1215" s="19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</row>
    <row r="1216" spans="1:32">
      <c r="A1216" s="20"/>
      <c r="E1216" s="30"/>
      <c r="F1216" s="6"/>
      <c r="G1216" s="19"/>
      <c r="I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</row>
    <row r="1217" spans="1:32">
      <c r="A1217" s="20"/>
      <c r="B1217" s="16"/>
      <c r="E1217" s="30"/>
      <c r="F1217" s="6"/>
      <c r="G1217" s="32"/>
      <c r="H1217" s="33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</row>
    <row r="1218" spans="1:32">
      <c r="A1218" s="20"/>
      <c r="E1218" s="12"/>
      <c r="F1218" s="6"/>
      <c r="G1218" s="2"/>
      <c r="H1218" s="2"/>
      <c r="I1218" s="21"/>
      <c r="J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</row>
    <row r="1219" spans="1:32" s="11" customFormat="1">
      <c r="A1219" s="3"/>
      <c r="D1219"/>
      <c r="E1219" s="27"/>
      <c r="F1219" s="18"/>
      <c r="G1219" s="19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24"/>
      <c r="AE1219" s="24"/>
      <c r="AF1219" s="28"/>
    </row>
    <row r="1220" spans="1:32" s="11" customFormat="1">
      <c r="A1220" s="3"/>
      <c r="B1220" s="5"/>
      <c r="D1220"/>
      <c r="E1220"/>
      <c r="F1220" s="27"/>
      <c r="H1220" s="2"/>
      <c r="I1220" s="2"/>
      <c r="J1220" s="2"/>
      <c r="K1220" s="2"/>
      <c r="L1220" s="2"/>
      <c r="M1220" s="2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  <c r="AE1220" s="28"/>
      <c r="AF1220" s="28"/>
    </row>
    <row r="1221" spans="1:32" s="11" customFormat="1">
      <c r="A1221" s="3"/>
      <c r="E1221" s="27"/>
      <c r="F1221" s="6"/>
      <c r="G1221" s="19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  <c r="AA1221" s="24"/>
      <c r="AB1221" s="24"/>
      <c r="AC1221" s="24"/>
      <c r="AD1221" s="24"/>
      <c r="AE1221" s="24"/>
      <c r="AF1221" s="28"/>
    </row>
    <row r="1222" spans="1:32" s="11" customFormat="1">
      <c r="A1222" s="20"/>
      <c r="B1222" s="5"/>
      <c r="D1222"/>
      <c r="E1222" s="27"/>
      <c r="F1222" s="6"/>
      <c r="G1222" s="2"/>
      <c r="I1222" s="29"/>
      <c r="J1222" s="28"/>
      <c r="K1222"/>
      <c r="M1222" s="28"/>
      <c r="N1222" s="2"/>
      <c r="P1222" s="28"/>
      <c r="Q1222" s="28"/>
      <c r="R1222" s="28"/>
      <c r="S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  <c r="AE1222" s="28"/>
      <c r="AF1222" s="28"/>
    </row>
    <row r="1223" spans="1:32" s="11" customFormat="1">
      <c r="A1223" s="20"/>
      <c r="B1223" s="14"/>
      <c r="C1223"/>
      <c r="D1223"/>
      <c r="E1223"/>
      <c r="F1223"/>
      <c r="G1223" s="28"/>
      <c r="H1223" s="2"/>
      <c r="I1223" s="29"/>
      <c r="J1223" s="28"/>
      <c r="L1223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  <c r="AE1223" s="28"/>
      <c r="AF1223" s="28"/>
    </row>
    <row r="1224" spans="1:32" s="11" customFormat="1">
      <c r="E1224" s="21"/>
      <c r="F1224" s="6"/>
      <c r="G1224" s="25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  <c r="V1224" s="24"/>
      <c r="W1224" s="24"/>
      <c r="X1224" s="24"/>
      <c r="Y1224" s="24"/>
      <c r="Z1224" s="24"/>
      <c r="AA1224" s="24"/>
      <c r="AB1224" s="24"/>
      <c r="AC1224" s="24"/>
      <c r="AD1224" s="24"/>
      <c r="AE1224" s="24"/>
      <c r="AF1224" s="28"/>
    </row>
    <row r="1225" spans="1:32" s="11" customFormat="1">
      <c r="A1225" s="20"/>
      <c r="B1225" s="5"/>
      <c r="D1225"/>
      <c r="E1225" s="27"/>
      <c r="F1225" s="6"/>
      <c r="G1225" s="28"/>
      <c r="H1225"/>
      <c r="I1225" s="29"/>
      <c r="K1225" s="2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  <c r="AE1225" s="28"/>
      <c r="AF1225" s="28"/>
    </row>
    <row r="1226" spans="1:32" s="11" customFormat="1">
      <c r="A1226" s="20"/>
      <c r="E1226" s="27"/>
      <c r="F1226" s="6"/>
      <c r="G1226" s="25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  <c r="AE1226" s="24"/>
      <c r="AF1226" s="28"/>
    </row>
    <row r="1227" spans="1:32">
      <c r="A1227" s="20"/>
      <c r="B1227" s="5"/>
      <c r="E1227" s="2"/>
      <c r="G1227" s="2"/>
      <c r="I1227" s="11"/>
      <c r="J1227" s="28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</row>
    <row r="1228" spans="1:32">
      <c r="B1228" s="12"/>
      <c r="E1228" s="12"/>
      <c r="F1228" s="6"/>
      <c r="G1228" s="32"/>
      <c r="H1228" s="33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</row>
    <row r="1229" spans="1:32">
      <c r="B1229" s="11"/>
      <c r="C1229" s="14"/>
      <c r="E1229" s="12"/>
      <c r="F1229" s="6"/>
      <c r="G1229" s="32"/>
      <c r="H1229" s="33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</row>
    <row r="1230" spans="1:32">
      <c r="B1230" s="16"/>
      <c r="E1230" s="12"/>
      <c r="F1230" s="6"/>
      <c r="G1230" s="32"/>
      <c r="H1230" s="33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</row>
    <row r="1231" spans="1:32"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</row>
    <row r="1232" spans="1:32" s="11" customFormat="1">
      <c r="A1232" s="3"/>
      <c r="E1232" s="27"/>
      <c r="F1232" s="6"/>
      <c r="G1232" s="19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  <c r="V1232" s="24"/>
      <c r="W1232" s="24"/>
      <c r="X1232" s="24"/>
      <c r="Y1232" s="24"/>
      <c r="Z1232" s="24"/>
      <c r="AA1232" s="24"/>
      <c r="AB1232" s="24"/>
      <c r="AC1232" s="24"/>
      <c r="AD1232" s="24"/>
      <c r="AE1232" s="24"/>
      <c r="AF1232" s="28"/>
    </row>
    <row r="1233" spans="1:32" s="11" customFormat="1">
      <c r="A1233" s="3"/>
      <c r="B1233" s="5"/>
      <c r="D1233"/>
      <c r="E1233"/>
      <c r="F1233" s="27"/>
      <c r="H1233" s="2"/>
      <c r="I1233" s="2"/>
      <c r="J1233" s="2"/>
      <c r="K1233" s="2"/>
      <c r="L1233" s="2"/>
      <c r="M1233" s="2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  <c r="AE1233" s="28"/>
      <c r="AF1233" s="28"/>
    </row>
    <row r="1234" spans="1:32" s="11" customFormat="1">
      <c r="A1234" s="3"/>
      <c r="E1234" s="27"/>
      <c r="F1234" s="6"/>
      <c r="G1234" s="19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  <c r="AF1234" s="28"/>
    </row>
    <row r="1235" spans="1:32" s="11" customFormat="1">
      <c r="A1235" s="20"/>
      <c r="B1235" s="5"/>
      <c r="D1235"/>
      <c r="E1235" s="27"/>
      <c r="F1235" s="6"/>
      <c r="G1235" s="28"/>
      <c r="H1235" s="2"/>
      <c r="I1235" s="29"/>
      <c r="J1235" s="28"/>
      <c r="L1235"/>
      <c r="M1235" s="28"/>
      <c r="N1235"/>
      <c r="O1235" s="28"/>
      <c r="P1235" s="28"/>
      <c r="R1235" s="28"/>
      <c r="S1235" s="28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  <c r="AE1235" s="28"/>
      <c r="AF1235" s="28"/>
    </row>
    <row r="1236" spans="1:32" s="11" customFormat="1">
      <c r="A1236" s="20"/>
      <c r="B1236" s="14"/>
      <c r="C1236"/>
      <c r="D1236"/>
      <c r="E1236"/>
      <c r="F1236"/>
      <c r="G1236" s="28"/>
      <c r="H1236" s="2"/>
      <c r="I1236" s="29"/>
      <c r="J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  <c r="AE1236" s="28"/>
      <c r="AF1236" s="28"/>
    </row>
    <row r="1237" spans="1:32" s="11" customFormat="1">
      <c r="A1237" s="14"/>
      <c r="E1237" s="27"/>
      <c r="F1237" s="6"/>
      <c r="G1237" s="25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  <c r="V1237" s="24"/>
      <c r="W1237" s="24"/>
      <c r="X1237" s="24"/>
      <c r="Y1237" s="24"/>
      <c r="Z1237" s="24"/>
      <c r="AA1237" s="24"/>
      <c r="AB1237" s="24"/>
      <c r="AC1237" s="24"/>
      <c r="AD1237" s="24"/>
      <c r="AE1237" s="24"/>
      <c r="AF1237" s="28"/>
    </row>
    <row r="1238" spans="1:32" s="11" customFormat="1">
      <c r="A1238" s="20"/>
      <c r="B1238" s="5"/>
      <c r="D1238"/>
      <c r="E1238" s="27"/>
      <c r="F1238" s="6"/>
      <c r="G1238" s="28"/>
      <c r="H1238"/>
      <c r="I1238" s="29"/>
      <c r="K1238" s="2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28"/>
      <c r="AE1238" s="28"/>
      <c r="AF1238" s="28"/>
    </row>
    <row r="1239" spans="1:32" s="11" customFormat="1">
      <c r="A1239" s="20"/>
      <c r="E1239" s="27"/>
      <c r="F1239" s="6"/>
      <c r="G1239" s="25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  <c r="V1239" s="24"/>
      <c r="W1239" s="24"/>
      <c r="X1239" s="24"/>
      <c r="Y1239" s="24"/>
      <c r="Z1239" s="24"/>
      <c r="AA1239" s="24"/>
      <c r="AB1239" s="24"/>
      <c r="AC1239" s="24"/>
      <c r="AD1239" s="24"/>
      <c r="AE1239" s="24"/>
      <c r="AF1239" s="28"/>
    </row>
    <row r="1240" spans="1:32" s="11" customFormat="1">
      <c r="A1240" s="20"/>
      <c r="B1240" s="5"/>
      <c r="D1240"/>
      <c r="E1240" s="2"/>
      <c r="F1240"/>
      <c r="G1240" s="2"/>
      <c r="H1240"/>
      <c r="J1240" s="28"/>
      <c r="K1240" s="2"/>
      <c r="L1240" s="12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28"/>
      <c r="AE1240" s="28"/>
      <c r="AF1240" s="28"/>
    </row>
    <row r="1241" spans="1:32" s="11" customFormat="1">
      <c r="A1241" s="20"/>
      <c r="B1241" s="16"/>
      <c r="E1241" s="27"/>
      <c r="F1241" s="6"/>
      <c r="G1241" s="32"/>
      <c r="H1241" s="33"/>
      <c r="I1241" s="29"/>
      <c r="J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W1241" s="28"/>
      <c r="X1241" s="28"/>
      <c r="Y1241" s="28"/>
      <c r="Z1241" s="28"/>
      <c r="AA1241" s="28"/>
      <c r="AB1241" s="28"/>
      <c r="AC1241" s="28"/>
      <c r="AD1241" s="28"/>
      <c r="AE1241" s="28"/>
      <c r="AF1241" s="28"/>
    </row>
    <row r="1242" spans="1:32">
      <c r="A1242" s="20"/>
      <c r="G1242" s="2"/>
      <c r="H1242" s="2"/>
      <c r="I1242" s="2"/>
      <c r="J1242" s="10"/>
      <c r="K1242" s="9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</row>
    <row r="1243" spans="1:32">
      <c r="A1243" s="3"/>
      <c r="G1243" s="19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  <c r="V1243" s="24"/>
      <c r="W1243" s="24"/>
      <c r="X1243" s="24"/>
      <c r="Y1243" s="24"/>
      <c r="Z1243" s="24"/>
      <c r="AA1243" s="24"/>
      <c r="AB1243" s="24"/>
      <c r="AC1243" s="24"/>
      <c r="AD1243" s="24"/>
      <c r="AE1243" s="24"/>
      <c r="AF1243" s="2"/>
    </row>
    <row r="1244" spans="1:32">
      <c r="A1244" s="3"/>
      <c r="C1244" s="5"/>
      <c r="D1244" s="11"/>
      <c r="G1244" s="27"/>
      <c r="H1244" s="11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</row>
    <row r="1245" spans="1:32">
      <c r="C1245" s="5"/>
      <c r="D1245" s="11"/>
      <c r="G1245" s="27"/>
      <c r="H1245" s="11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</row>
    <row r="1246" spans="1:32">
      <c r="G1246" s="19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</row>
    <row r="1247" spans="1:32">
      <c r="A1247" s="20"/>
      <c r="B1247" s="5"/>
      <c r="C1247" s="11"/>
      <c r="E1247" s="12"/>
      <c r="F1247" s="18"/>
      <c r="G1247" s="19"/>
      <c r="H1247" s="2"/>
      <c r="I1247" s="2"/>
      <c r="J1247" s="2"/>
      <c r="K1247" s="9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</row>
    <row r="1248" spans="1:32">
      <c r="C1248" s="11"/>
      <c r="E1248" s="12"/>
      <c r="F1248" s="18"/>
      <c r="G1248" s="19"/>
      <c r="H1248" s="2"/>
      <c r="I1248" s="2"/>
      <c r="J1248" s="2"/>
      <c r="K1248" s="9"/>
      <c r="N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</row>
    <row r="1249" spans="1:32">
      <c r="A1249" s="11"/>
      <c r="G1249" s="19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</row>
    <row r="1250" spans="1:32">
      <c r="A1250" s="20"/>
      <c r="B1250" s="5"/>
      <c r="G1250" s="2"/>
      <c r="H1250" s="2"/>
      <c r="I1250" s="2"/>
      <c r="J1250" s="10"/>
      <c r="K1250" s="9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</row>
    <row r="1251" spans="1:32">
      <c r="A1251" s="14"/>
      <c r="G1251" s="2"/>
      <c r="H1251" s="2"/>
      <c r="I1251" s="2"/>
      <c r="J1251" s="2"/>
      <c r="K1251" s="9"/>
      <c r="N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</row>
    <row r="1252" spans="1:32">
      <c r="A1252" s="11"/>
      <c r="F1252" s="10"/>
      <c r="G1252" s="25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  <c r="V1252" s="24"/>
      <c r="W1252" s="24"/>
      <c r="X1252" s="24"/>
      <c r="Y1252" s="24"/>
      <c r="Z1252" s="24"/>
      <c r="AA1252" s="24"/>
      <c r="AB1252" s="24"/>
      <c r="AC1252" s="24"/>
      <c r="AD1252" s="24"/>
      <c r="AE1252" s="24"/>
      <c r="AF1252" s="2"/>
    </row>
    <row r="1253" spans="1:32">
      <c r="A1253" s="20"/>
      <c r="B1253" s="5"/>
      <c r="C1253" s="11"/>
      <c r="E1253" s="27"/>
      <c r="F1253" s="6"/>
      <c r="G1253" s="28"/>
      <c r="I1253" s="29"/>
      <c r="J1253" s="2"/>
      <c r="K1253" s="9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</row>
    <row r="1254" spans="1:32">
      <c r="A1254" s="22"/>
      <c r="G1254" s="19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</row>
    <row r="1255" spans="1:32">
      <c r="A1255" s="20"/>
      <c r="C1255" s="5"/>
      <c r="E1255" s="12"/>
      <c r="F1255" s="6"/>
      <c r="G1255" s="19"/>
      <c r="H1255" s="2"/>
      <c r="I1255" s="2"/>
      <c r="J1255" s="10"/>
      <c r="K1255" s="9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</row>
    <row r="1256" spans="1:32">
      <c r="A1256" s="14"/>
      <c r="C1256" s="5"/>
      <c r="E1256" s="12"/>
      <c r="F1256" s="6"/>
      <c r="G1256" s="19"/>
      <c r="H1256" s="2"/>
      <c r="I1256" s="2"/>
      <c r="K1256" s="9"/>
      <c r="M1256" s="10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</row>
    <row r="1257" spans="1:32">
      <c r="A1257" s="14"/>
      <c r="G1257" s="19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</row>
    <row r="1258" spans="1:32">
      <c r="A1258" s="20"/>
      <c r="E1258" s="30"/>
      <c r="F1258" s="6"/>
      <c r="G1258" s="19"/>
      <c r="I1258" s="2"/>
      <c r="J1258" s="2"/>
      <c r="K1258" s="9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</row>
    <row r="1259" spans="1:32">
      <c r="A1259" s="14"/>
      <c r="C1259" s="5"/>
      <c r="E1259" s="12"/>
      <c r="F1259" s="6"/>
      <c r="G1259" s="19"/>
      <c r="H1259" s="2"/>
      <c r="I1259" s="2"/>
      <c r="K1259" s="9"/>
      <c r="M1259" s="10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</row>
    <row r="1260" spans="1:32">
      <c r="A1260" s="14"/>
      <c r="B1260" s="16"/>
      <c r="E1260" s="12"/>
      <c r="F1260" s="6"/>
      <c r="G1260" s="32"/>
      <c r="H1260" s="2"/>
      <c r="I1260" s="2"/>
      <c r="K1260" s="10"/>
      <c r="L1260" s="9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</row>
    <row r="1261" spans="1:32">
      <c r="A1261" s="3"/>
      <c r="E1261" s="12"/>
      <c r="F1261" s="6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</row>
    <row r="1262" spans="1:32">
      <c r="A1262" s="3"/>
      <c r="G1262" s="19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  <c r="V1262" s="24"/>
      <c r="W1262" s="24"/>
      <c r="X1262" s="24"/>
      <c r="Y1262" s="24"/>
      <c r="Z1262" s="24"/>
      <c r="AA1262" s="24"/>
      <c r="AB1262" s="24"/>
      <c r="AC1262" s="24"/>
      <c r="AD1262" s="24"/>
      <c r="AE1262" s="24"/>
      <c r="AF1262" s="2"/>
    </row>
    <row r="1263" spans="1:32">
      <c r="A1263" s="3"/>
      <c r="C1263" s="5"/>
      <c r="D1263" s="11"/>
      <c r="G1263" s="27"/>
      <c r="H1263" s="11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</row>
    <row r="1264" spans="1:32">
      <c r="G1264" s="19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</row>
    <row r="1265" spans="1:32">
      <c r="A1265" s="20"/>
      <c r="B1265" s="5"/>
      <c r="C1265" s="11"/>
      <c r="E1265" s="12"/>
      <c r="F1265" s="18"/>
      <c r="G1265" s="19"/>
      <c r="H1265" s="2"/>
      <c r="I1265" s="2"/>
      <c r="J1265" s="2"/>
      <c r="K1265" s="9"/>
      <c r="AF1265" s="2"/>
    </row>
    <row r="1266" spans="1:32">
      <c r="C1266" s="11"/>
      <c r="E1266" s="12"/>
      <c r="F1266" s="18"/>
      <c r="G1266" s="19"/>
      <c r="H1266" s="2"/>
      <c r="I1266" s="2"/>
      <c r="J1266" s="2"/>
      <c r="K1266" s="9"/>
      <c r="AF1266" s="2"/>
    </row>
    <row r="1267" spans="1:32">
      <c r="A1267" s="11"/>
      <c r="G1267" s="19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</row>
    <row r="1268" spans="1:32">
      <c r="A1268" s="20"/>
      <c r="B1268" s="5"/>
      <c r="G1268" s="2"/>
      <c r="H1268" s="2"/>
      <c r="I1268" s="2"/>
      <c r="J1268" s="10"/>
      <c r="K1268" s="9"/>
      <c r="AF1268" s="2"/>
    </row>
    <row r="1269" spans="1:32">
      <c r="A1269" s="14"/>
      <c r="G1269" s="2"/>
      <c r="H1269" s="2"/>
      <c r="I1269" s="2"/>
      <c r="J1269" s="10"/>
      <c r="K1269" s="9"/>
      <c r="AF1269" s="2"/>
    </row>
    <row r="1270" spans="1:32">
      <c r="A1270" s="11"/>
      <c r="G1270" s="25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  <c r="V1270" s="24"/>
      <c r="W1270" s="24"/>
      <c r="X1270" s="24"/>
      <c r="Y1270" s="24"/>
      <c r="Z1270" s="24"/>
      <c r="AA1270" s="24"/>
      <c r="AB1270" s="24"/>
      <c r="AC1270" s="24"/>
      <c r="AD1270" s="24"/>
      <c r="AE1270" s="24"/>
      <c r="AF1270" s="2"/>
    </row>
    <row r="1271" spans="1:32">
      <c r="A1271" s="20"/>
      <c r="B1271" s="5"/>
      <c r="C1271" s="11"/>
      <c r="E1271" s="27"/>
      <c r="F1271" s="6"/>
      <c r="G1271" s="28"/>
      <c r="I1271" s="29"/>
      <c r="J1271" s="2"/>
      <c r="K1271" s="9"/>
      <c r="AF1271" s="2"/>
    </row>
    <row r="1272" spans="1:32">
      <c r="A1272" s="22"/>
      <c r="G1272" s="19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</row>
    <row r="1273" spans="1:32">
      <c r="A1273" s="20"/>
      <c r="C1273" s="5"/>
      <c r="E1273" s="12"/>
      <c r="F1273" s="6"/>
      <c r="G1273" s="19"/>
      <c r="H1273" s="2"/>
      <c r="I1273" s="2"/>
      <c r="J1273" s="10"/>
      <c r="K1273" s="9"/>
      <c r="AF1273" s="2"/>
    </row>
    <row r="1274" spans="1:32">
      <c r="A1274" s="14"/>
      <c r="C1274" s="5"/>
      <c r="E1274" s="12"/>
      <c r="F1274" s="6"/>
      <c r="G1274" s="19"/>
      <c r="H1274" s="2"/>
      <c r="I1274" s="2"/>
      <c r="K1274" s="9"/>
      <c r="M1274" s="10"/>
      <c r="AF1274" s="2"/>
    </row>
    <row r="1275" spans="1:32">
      <c r="A1275" s="14"/>
      <c r="G1275" s="19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</row>
    <row r="1276" spans="1:32">
      <c r="A1276" s="20"/>
      <c r="E1276" s="30"/>
      <c r="F1276" s="6"/>
      <c r="G1276" s="19"/>
      <c r="I1276" s="2"/>
      <c r="J1276" s="2"/>
      <c r="K1276" s="9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</row>
    <row r="1277" spans="1:32">
      <c r="A1277" s="14"/>
      <c r="C1277" s="5"/>
      <c r="E1277" s="12"/>
      <c r="F1277" s="6"/>
      <c r="G1277" s="19"/>
      <c r="H1277" s="2"/>
      <c r="I1277" s="2"/>
      <c r="K1277" s="9"/>
      <c r="M1277" s="10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</row>
    <row r="1278" spans="1:32">
      <c r="A1278" s="14"/>
      <c r="B1278" s="16"/>
      <c r="E1278" s="12"/>
      <c r="F1278" s="6"/>
      <c r="G1278" s="32"/>
      <c r="H1278" s="2"/>
      <c r="I1278" s="2"/>
      <c r="K1278" s="10"/>
      <c r="L1278" s="9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</row>
    <row r="1279" spans="1:32">
      <c r="A1279" s="3"/>
      <c r="B1279" s="16"/>
      <c r="E1279" s="12"/>
      <c r="F1279" s="6"/>
      <c r="G1279" s="32"/>
      <c r="H1279" s="2"/>
      <c r="I1279" s="2"/>
      <c r="K1279" s="10"/>
      <c r="L1279" s="9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</row>
    <row r="1280" spans="1:32">
      <c r="A1280" s="3"/>
      <c r="B1280" s="30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2"/>
    </row>
    <row r="1281" spans="1:32">
      <c r="A1281" s="39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2"/>
    </row>
    <row r="1282" spans="1:32">
      <c r="A1282" s="3"/>
      <c r="B1282" s="11"/>
      <c r="C1282" s="11"/>
      <c r="D1282" s="5"/>
      <c r="E1282" s="12"/>
      <c r="F1282" s="6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</row>
    <row r="1283" spans="1:32">
      <c r="B1283" s="11"/>
      <c r="C1283" s="11"/>
      <c r="E1283" s="12"/>
      <c r="F1283" s="18"/>
      <c r="G1283" s="19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</row>
    <row r="1284" spans="1:32">
      <c r="A1284" s="20"/>
      <c r="G1284" s="19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</row>
    <row r="1285" spans="1:32">
      <c r="A1285" s="20"/>
      <c r="B1285" s="16"/>
      <c r="G1285" s="32"/>
      <c r="H1285" s="33"/>
      <c r="I1285" s="33"/>
      <c r="J1285" s="33"/>
      <c r="K1285" s="33"/>
      <c r="L1285" s="33"/>
      <c r="M1285" s="33"/>
      <c r="N1285" s="33"/>
      <c r="O1285" s="33"/>
      <c r="P1285" s="33"/>
      <c r="Q1285" s="33"/>
      <c r="R1285" s="33"/>
      <c r="S1285" s="33"/>
      <c r="T1285" s="33"/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F1285" s="2"/>
    </row>
    <row r="1286" spans="1:32">
      <c r="A1286" s="20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</row>
    <row r="1287" spans="1:32">
      <c r="A1287" s="3"/>
      <c r="B1287" s="11"/>
      <c r="C1287" s="11"/>
      <c r="D1287" s="11"/>
      <c r="E1287" s="14"/>
      <c r="F1287" s="31"/>
      <c r="G1287" s="19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</row>
    <row r="1288" spans="1:32">
      <c r="A1288" s="20"/>
      <c r="B1288" s="5"/>
      <c r="C1288" s="11"/>
      <c r="E1288" s="12"/>
      <c r="F1288" s="18"/>
      <c r="G1288" s="19"/>
      <c r="H1288" s="2"/>
      <c r="I1288" s="2"/>
      <c r="J1288" s="2"/>
      <c r="K1288" s="26"/>
      <c r="L1288" s="2"/>
      <c r="M1288" s="2"/>
      <c r="N1288" s="2"/>
      <c r="O1288" s="26"/>
      <c r="P1288" s="2"/>
      <c r="Q1288" s="2"/>
      <c r="R1288" s="26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</row>
    <row r="1289" spans="1:32">
      <c r="A1289" s="5"/>
      <c r="G1289" s="19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</row>
    <row r="1290" spans="1:32">
      <c r="A1290" s="20"/>
      <c r="B1290" s="5"/>
      <c r="G1290" s="19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</row>
    <row r="1291" spans="1:32">
      <c r="A1291" s="16"/>
      <c r="E1291" s="12"/>
      <c r="F1291" s="6"/>
      <c r="G1291" s="19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</row>
    <row r="1292" spans="1:32">
      <c r="A1292" s="20"/>
      <c r="C1292" s="5"/>
      <c r="E1292" s="12"/>
      <c r="F1292" s="6"/>
      <c r="G1292" s="19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</row>
    <row r="1293" spans="1:32">
      <c r="A1293" s="20"/>
      <c r="E1293" s="12"/>
      <c r="F1293" s="6"/>
      <c r="G1293" s="19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</row>
    <row r="1294" spans="1:32">
      <c r="A1294" s="20"/>
      <c r="E1294" s="30"/>
      <c r="F1294" s="6"/>
      <c r="G1294" s="19"/>
      <c r="I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</row>
    <row r="1295" spans="1:32">
      <c r="A1295" s="20"/>
      <c r="B1295" s="16"/>
      <c r="E1295" s="30"/>
      <c r="F1295" s="6"/>
      <c r="G1295" s="32"/>
      <c r="H1295" s="33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</row>
    <row r="1296" spans="1:32">
      <c r="A1296" s="20"/>
      <c r="E1296" s="12"/>
      <c r="F1296" s="6"/>
      <c r="G1296" s="2"/>
      <c r="H1296" s="2"/>
      <c r="I1296" s="21"/>
      <c r="J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</row>
    <row r="1297" spans="1:32" s="11" customFormat="1">
      <c r="A1297" s="3"/>
      <c r="D1297"/>
      <c r="E1297" s="27"/>
      <c r="F1297" s="18"/>
      <c r="G1297" s="19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  <c r="V1297" s="24"/>
      <c r="W1297" s="24"/>
      <c r="X1297" s="24"/>
      <c r="Y1297" s="24"/>
      <c r="Z1297" s="24"/>
      <c r="AA1297" s="24"/>
      <c r="AB1297" s="24"/>
      <c r="AC1297" s="24"/>
      <c r="AD1297" s="24"/>
      <c r="AE1297" s="24"/>
      <c r="AF1297" s="28"/>
    </row>
    <row r="1298" spans="1:32" s="11" customFormat="1">
      <c r="A1298" s="3"/>
      <c r="B1298" s="5"/>
      <c r="D1298"/>
      <c r="E1298"/>
      <c r="F1298" s="27"/>
      <c r="H1298" s="2"/>
      <c r="I1298" s="2"/>
      <c r="J1298" s="2"/>
      <c r="K1298" s="2"/>
      <c r="L1298" s="2"/>
      <c r="M1298" s="2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  <c r="Y1298" s="28"/>
      <c r="Z1298" s="28"/>
      <c r="AA1298" s="28"/>
      <c r="AB1298" s="28"/>
      <c r="AC1298" s="28"/>
      <c r="AD1298" s="28"/>
      <c r="AE1298" s="28"/>
      <c r="AF1298" s="28"/>
    </row>
    <row r="1299" spans="1:32" s="11" customFormat="1">
      <c r="A1299" s="3"/>
      <c r="E1299" s="27"/>
      <c r="F1299" s="6"/>
      <c r="G1299" s="19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  <c r="V1299" s="24"/>
      <c r="W1299" s="24"/>
      <c r="X1299" s="24"/>
      <c r="Y1299" s="24"/>
      <c r="Z1299" s="24"/>
      <c r="AA1299" s="24"/>
      <c r="AB1299" s="24"/>
      <c r="AC1299" s="24"/>
      <c r="AD1299" s="24"/>
      <c r="AE1299" s="24"/>
      <c r="AF1299" s="28"/>
    </row>
    <row r="1300" spans="1:32" s="11" customFormat="1">
      <c r="A1300" s="20"/>
      <c r="B1300" s="5"/>
      <c r="D1300"/>
      <c r="E1300" s="27"/>
      <c r="F1300" s="6"/>
      <c r="G1300" s="2"/>
      <c r="I1300" s="29"/>
      <c r="J1300" s="28"/>
      <c r="K1300"/>
      <c r="M1300" s="28"/>
      <c r="N1300" s="2"/>
      <c r="P1300" s="28"/>
      <c r="Q1300" s="28"/>
      <c r="R1300" s="28"/>
      <c r="S1300" s="28"/>
      <c r="T1300" s="28"/>
      <c r="U1300" s="28"/>
      <c r="V1300" s="28"/>
      <c r="W1300" s="28"/>
      <c r="X1300" s="28"/>
      <c r="Y1300" s="28"/>
      <c r="Z1300" s="28"/>
      <c r="AA1300" s="28"/>
      <c r="AB1300" s="28"/>
      <c r="AC1300" s="28"/>
      <c r="AD1300" s="28"/>
      <c r="AE1300" s="28"/>
      <c r="AF1300" s="28"/>
    </row>
    <row r="1301" spans="1:32" s="11" customFormat="1">
      <c r="A1301" s="20"/>
      <c r="B1301" s="14"/>
      <c r="C1301"/>
      <c r="D1301"/>
      <c r="E1301"/>
      <c r="F1301"/>
      <c r="G1301" s="28"/>
      <c r="H1301" s="2"/>
      <c r="I1301" s="29"/>
      <c r="J1301" s="28"/>
      <c r="L1301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  <c r="Y1301" s="28"/>
      <c r="Z1301" s="28"/>
      <c r="AA1301" s="28"/>
      <c r="AB1301" s="28"/>
      <c r="AC1301" s="28"/>
      <c r="AD1301" s="28"/>
      <c r="AE1301" s="28"/>
      <c r="AF1301" s="28"/>
    </row>
    <row r="1302" spans="1:32" s="11" customFormat="1">
      <c r="E1302" s="21"/>
      <c r="F1302" s="6"/>
      <c r="G1302" s="25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  <c r="V1302" s="24"/>
      <c r="W1302" s="24"/>
      <c r="X1302" s="24"/>
      <c r="Y1302" s="24"/>
      <c r="Z1302" s="24"/>
      <c r="AA1302" s="24"/>
      <c r="AB1302" s="24"/>
      <c r="AC1302" s="24"/>
      <c r="AD1302" s="24"/>
      <c r="AE1302" s="24"/>
      <c r="AF1302" s="28"/>
    </row>
    <row r="1303" spans="1:32" s="11" customFormat="1">
      <c r="A1303" s="20"/>
      <c r="B1303" s="5"/>
      <c r="D1303"/>
      <c r="E1303" s="27"/>
      <c r="F1303" s="6"/>
      <c r="G1303" s="28"/>
      <c r="H1303"/>
      <c r="I1303" s="29"/>
      <c r="K1303" s="2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  <c r="W1303" s="28"/>
      <c r="X1303" s="28"/>
      <c r="Y1303" s="28"/>
      <c r="Z1303" s="28"/>
      <c r="AA1303" s="28"/>
      <c r="AB1303" s="28"/>
      <c r="AC1303" s="28"/>
      <c r="AD1303" s="28"/>
      <c r="AE1303" s="28"/>
      <c r="AF1303" s="28"/>
    </row>
    <row r="1304" spans="1:32" s="11" customFormat="1">
      <c r="A1304" s="20"/>
      <c r="E1304" s="27"/>
      <c r="F1304" s="6"/>
      <c r="G1304" s="25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  <c r="AE1304" s="24"/>
      <c r="AF1304" s="28"/>
    </row>
    <row r="1305" spans="1:32">
      <c r="A1305" s="20"/>
      <c r="B1305" s="5"/>
      <c r="E1305" s="2"/>
      <c r="G1305" s="2"/>
      <c r="I1305" s="11"/>
      <c r="J1305" s="28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</row>
    <row r="1306" spans="1:32">
      <c r="B1306" s="12"/>
      <c r="E1306" s="12"/>
      <c r="F1306" s="6"/>
      <c r="G1306" s="32"/>
      <c r="H1306" s="33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</row>
    <row r="1307" spans="1:32">
      <c r="B1307" s="11"/>
      <c r="C1307" s="14"/>
      <c r="E1307" s="12"/>
      <c r="F1307" s="6"/>
      <c r="G1307" s="32"/>
      <c r="H1307" s="33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</row>
    <row r="1308" spans="1:32">
      <c r="B1308" s="16"/>
      <c r="E1308" s="12"/>
      <c r="F1308" s="6"/>
      <c r="G1308" s="32"/>
      <c r="H1308" s="33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</row>
    <row r="1309" spans="1:32"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</row>
    <row r="1310" spans="1:32" s="11" customFormat="1">
      <c r="A1310" s="3"/>
      <c r="E1310" s="27"/>
      <c r="F1310" s="6"/>
      <c r="G1310" s="19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  <c r="AF1310" s="28"/>
    </row>
    <row r="1311" spans="1:32" s="11" customFormat="1">
      <c r="A1311" s="3"/>
      <c r="B1311" s="5"/>
      <c r="D1311"/>
      <c r="E1311"/>
      <c r="F1311" s="27"/>
      <c r="H1311" s="2"/>
      <c r="I1311" s="2"/>
      <c r="J1311" s="2"/>
      <c r="K1311" s="2"/>
      <c r="L1311" s="2"/>
      <c r="M1311" s="2"/>
      <c r="N1311" s="28"/>
      <c r="O1311" s="28"/>
      <c r="P1311" s="28"/>
      <c r="Q1311" s="28"/>
      <c r="R1311" s="28"/>
      <c r="S1311" s="28"/>
      <c r="T1311" s="28"/>
      <c r="U1311" s="28"/>
      <c r="V1311" s="28"/>
      <c r="W1311" s="28"/>
      <c r="X1311" s="28"/>
      <c r="Y1311" s="28"/>
      <c r="Z1311" s="28"/>
      <c r="AA1311" s="28"/>
      <c r="AB1311" s="28"/>
      <c r="AC1311" s="28"/>
      <c r="AD1311" s="28"/>
      <c r="AE1311" s="28"/>
      <c r="AF1311" s="28"/>
    </row>
    <row r="1312" spans="1:32" s="11" customFormat="1">
      <c r="A1312" s="3"/>
      <c r="E1312" s="27"/>
      <c r="F1312" s="6"/>
      <c r="G1312" s="19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  <c r="V1312" s="24"/>
      <c r="W1312" s="24"/>
      <c r="X1312" s="24"/>
      <c r="Y1312" s="24"/>
      <c r="Z1312" s="24"/>
      <c r="AA1312" s="24"/>
      <c r="AB1312" s="24"/>
      <c r="AC1312" s="24"/>
      <c r="AD1312" s="24"/>
      <c r="AE1312" s="24"/>
      <c r="AF1312" s="28"/>
    </row>
    <row r="1313" spans="1:32" s="11" customFormat="1">
      <c r="A1313" s="20"/>
      <c r="B1313" s="5"/>
      <c r="D1313"/>
      <c r="E1313" s="27"/>
      <c r="F1313" s="6"/>
      <c r="G1313" s="28"/>
      <c r="H1313" s="2"/>
      <c r="I1313" s="29"/>
      <c r="J1313" s="28"/>
      <c r="L1313"/>
      <c r="M1313" s="28"/>
      <c r="N1313"/>
      <c r="O1313" s="28"/>
      <c r="P1313" s="28"/>
      <c r="R1313" s="28"/>
      <c r="S1313" s="28"/>
      <c r="T1313" s="28"/>
      <c r="U1313" s="28"/>
      <c r="V1313" s="28"/>
      <c r="W1313" s="28"/>
      <c r="X1313" s="28"/>
      <c r="Y1313" s="28"/>
      <c r="Z1313" s="28"/>
      <c r="AA1313" s="28"/>
      <c r="AB1313" s="28"/>
      <c r="AC1313" s="28"/>
      <c r="AD1313" s="28"/>
      <c r="AE1313" s="28"/>
      <c r="AF1313" s="28"/>
    </row>
    <row r="1314" spans="1:32" s="11" customFormat="1">
      <c r="A1314" s="20"/>
      <c r="B1314" s="14"/>
      <c r="C1314"/>
      <c r="D1314"/>
      <c r="E1314"/>
      <c r="F1314"/>
      <c r="G1314" s="28"/>
      <c r="H1314" s="2"/>
      <c r="I1314" s="29"/>
      <c r="J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W1314" s="28"/>
      <c r="X1314" s="28"/>
      <c r="Y1314" s="28"/>
      <c r="Z1314" s="28"/>
      <c r="AA1314" s="28"/>
      <c r="AB1314" s="28"/>
      <c r="AC1314" s="28"/>
      <c r="AD1314" s="28"/>
      <c r="AE1314" s="28"/>
      <c r="AF1314" s="28"/>
    </row>
    <row r="1315" spans="1:32" s="11" customFormat="1">
      <c r="A1315" s="14"/>
      <c r="E1315" s="27"/>
      <c r="F1315" s="6"/>
      <c r="G1315" s="25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  <c r="V1315" s="24"/>
      <c r="W1315" s="24"/>
      <c r="X1315" s="24"/>
      <c r="Y1315" s="24"/>
      <c r="Z1315" s="24"/>
      <c r="AA1315" s="24"/>
      <c r="AB1315" s="24"/>
      <c r="AC1315" s="24"/>
      <c r="AD1315" s="24"/>
      <c r="AE1315" s="24"/>
      <c r="AF1315" s="28"/>
    </row>
    <row r="1316" spans="1:32" s="11" customFormat="1">
      <c r="A1316" s="20"/>
      <c r="B1316" s="5"/>
      <c r="D1316"/>
      <c r="E1316" s="27"/>
      <c r="F1316" s="6"/>
      <c r="G1316" s="28"/>
      <c r="H1316"/>
      <c r="I1316" s="29"/>
      <c r="K1316" s="2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W1316" s="28"/>
      <c r="X1316" s="28"/>
      <c r="Y1316" s="28"/>
      <c r="Z1316" s="28"/>
      <c r="AA1316" s="28"/>
      <c r="AB1316" s="28"/>
      <c r="AC1316" s="28"/>
      <c r="AD1316" s="28"/>
      <c r="AE1316" s="28"/>
      <c r="AF1316" s="28"/>
    </row>
    <row r="1317" spans="1:32" s="11" customFormat="1">
      <c r="A1317" s="20"/>
      <c r="E1317" s="27"/>
      <c r="F1317" s="6"/>
      <c r="G1317" s="25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  <c r="V1317" s="24"/>
      <c r="W1317" s="24"/>
      <c r="X1317" s="24"/>
      <c r="Y1317" s="24"/>
      <c r="Z1317" s="24"/>
      <c r="AA1317" s="24"/>
      <c r="AB1317" s="24"/>
      <c r="AC1317" s="24"/>
      <c r="AD1317" s="24"/>
      <c r="AE1317" s="24"/>
      <c r="AF1317" s="28"/>
    </row>
    <row r="1318" spans="1:32" s="11" customFormat="1">
      <c r="A1318" s="20"/>
      <c r="B1318" s="5"/>
      <c r="D1318"/>
      <c r="E1318" s="2"/>
      <c r="F1318"/>
      <c r="G1318" s="2"/>
      <c r="H1318"/>
      <c r="J1318" s="28"/>
      <c r="K1318" s="2"/>
      <c r="L1318" s="12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W1318" s="28"/>
      <c r="X1318" s="28"/>
      <c r="Y1318" s="28"/>
      <c r="Z1318" s="28"/>
      <c r="AA1318" s="28"/>
      <c r="AB1318" s="28"/>
      <c r="AC1318" s="28"/>
      <c r="AD1318" s="28"/>
      <c r="AE1318" s="28"/>
      <c r="AF1318" s="28"/>
    </row>
    <row r="1319" spans="1:32" s="11" customFormat="1">
      <c r="A1319" s="20"/>
      <c r="B1319" s="16"/>
      <c r="E1319" s="27"/>
      <c r="F1319" s="6"/>
      <c r="G1319" s="32"/>
      <c r="H1319" s="33"/>
      <c r="I1319" s="29"/>
      <c r="J1319" s="28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  <c r="W1319" s="28"/>
      <c r="X1319" s="28"/>
      <c r="Y1319" s="28"/>
      <c r="Z1319" s="28"/>
      <c r="AA1319" s="28"/>
      <c r="AB1319" s="28"/>
      <c r="AC1319" s="28"/>
      <c r="AD1319" s="28"/>
      <c r="AE1319" s="28"/>
      <c r="AF1319" s="28"/>
    </row>
    <row r="1320" spans="1:32">
      <c r="A1320" s="20"/>
      <c r="G1320" s="2"/>
      <c r="H1320" s="2"/>
      <c r="I1320" s="2"/>
      <c r="J1320" s="10"/>
      <c r="K1320" s="9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</row>
    <row r="1321" spans="1:32">
      <c r="A1321" s="3"/>
      <c r="G1321" s="19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  <c r="AE1321" s="24"/>
      <c r="AF1321" s="2"/>
    </row>
    <row r="1322" spans="1:32">
      <c r="A1322" s="3"/>
      <c r="C1322" s="5"/>
      <c r="D1322" s="11"/>
      <c r="G1322" s="27"/>
      <c r="H1322" s="11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</row>
    <row r="1323" spans="1:32">
      <c r="C1323" s="5"/>
      <c r="D1323" s="11"/>
      <c r="G1323" s="27"/>
      <c r="H1323" s="11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</row>
    <row r="1324" spans="1:32">
      <c r="G1324" s="19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</row>
    <row r="1325" spans="1:32">
      <c r="A1325" s="20"/>
      <c r="B1325" s="5"/>
      <c r="C1325" s="11"/>
      <c r="E1325" s="12"/>
      <c r="F1325" s="18"/>
      <c r="G1325" s="19"/>
      <c r="H1325" s="2"/>
      <c r="I1325" s="2"/>
      <c r="J1325" s="2"/>
      <c r="K1325" s="9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</row>
    <row r="1326" spans="1:32">
      <c r="C1326" s="11"/>
      <c r="E1326" s="12"/>
      <c r="F1326" s="18"/>
      <c r="G1326" s="19"/>
      <c r="H1326" s="2"/>
      <c r="I1326" s="2"/>
      <c r="J1326" s="2"/>
      <c r="K1326" s="9"/>
      <c r="N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</row>
    <row r="1327" spans="1:32">
      <c r="A1327" s="11"/>
      <c r="G1327" s="19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</row>
    <row r="1328" spans="1:32">
      <c r="A1328" s="20"/>
      <c r="B1328" s="5"/>
      <c r="G1328" s="2"/>
      <c r="H1328" s="2"/>
      <c r="I1328" s="2"/>
      <c r="J1328" s="10"/>
      <c r="K1328" s="9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</row>
    <row r="1329" spans="1:32">
      <c r="A1329" s="14"/>
      <c r="G1329" s="2"/>
      <c r="H1329" s="2"/>
      <c r="I1329" s="2"/>
      <c r="J1329" s="2"/>
      <c r="K1329" s="9"/>
      <c r="N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</row>
    <row r="1330" spans="1:32">
      <c r="A1330" s="11"/>
      <c r="F1330" s="10"/>
      <c r="G1330" s="25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  <c r="V1330" s="24"/>
      <c r="W1330" s="24"/>
      <c r="X1330" s="24"/>
      <c r="Y1330" s="24"/>
      <c r="Z1330" s="24"/>
      <c r="AA1330" s="24"/>
      <c r="AB1330" s="24"/>
      <c r="AC1330" s="24"/>
      <c r="AD1330" s="24"/>
      <c r="AE1330" s="24"/>
      <c r="AF1330" s="2"/>
    </row>
    <row r="1331" spans="1:32">
      <c r="A1331" s="20"/>
      <c r="B1331" s="5"/>
      <c r="C1331" s="11"/>
      <c r="E1331" s="27"/>
      <c r="F1331" s="6"/>
      <c r="G1331" s="28"/>
      <c r="I1331" s="29"/>
      <c r="J1331" s="2"/>
      <c r="K1331" s="9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</row>
    <row r="1332" spans="1:32">
      <c r="A1332" s="22"/>
      <c r="G1332" s="19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</row>
    <row r="1333" spans="1:32">
      <c r="A1333" s="20"/>
      <c r="C1333" s="5"/>
      <c r="E1333" s="12"/>
      <c r="F1333" s="6"/>
      <c r="G1333" s="19"/>
      <c r="H1333" s="2"/>
      <c r="I1333" s="2"/>
      <c r="J1333" s="10"/>
      <c r="K1333" s="9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</row>
    <row r="1334" spans="1:32">
      <c r="A1334" s="14"/>
      <c r="C1334" s="5"/>
      <c r="E1334" s="12"/>
      <c r="F1334" s="6"/>
      <c r="G1334" s="19"/>
      <c r="H1334" s="2"/>
      <c r="I1334" s="2"/>
      <c r="K1334" s="9"/>
      <c r="M1334" s="10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</row>
    <row r="1335" spans="1:32">
      <c r="A1335" s="14"/>
      <c r="G1335" s="19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</row>
    <row r="1336" spans="1:32">
      <c r="A1336" s="20"/>
      <c r="E1336" s="30"/>
      <c r="F1336" s="6"/>
      <c r="G1336" s="19"/>
      <c r="I1336" s="2"/>
      <c r="J1336" s="2"/>
      <c r="K1336" s="9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</row>
    <row r="1337" spans="1:32">
      <c r="A1337" s="14"/>
      <c r="C1337" s="5"/>
      <c r="E1337" s="12"/>
      <c r="F1337" s="6"/>
      <c r="G1337" s="19"/>
      <c r="H1337" s="2"/>
      <c r="I1337" s="2"/>
      <c r="K1337" s="9"/>
      <c r="M1337" s="10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</row>
    <row r="1338" spans="1:32">
      <c r="A1338" s="14"/>
      <c r="B1338" s="16"/>
      <c r="E1338" s="12"/>
      <c r="F1338" s="6"/>
      <c r="G1338" s="32"/>
      <c r="H1338" s="2"/>
      <c r="I1338" s="2"/>
      <c r="K1338" s="10"/>
      <c r="L1338" s="9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</row>
    <row r="1339" spans="1:32">
      <c r="A1339" s="3"/>
      <c r="E1339" s="12"/>
      <c r="F1339" s="6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</row>
    <row r="1340" spans="1:32">
      <c r="A1340" s="3"/>
      <c r="G1340" s="19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  <c r="AE1340" s="24"/>
      <c r="AF1340" s="2"/>
    </row>
    <row r="1341" spans="1:32">
      <c r="A1341" s="3"/>
      <c r="C1341" s="5"/>
      <c r="D1341" s="11"/>
      <c r="G1341" s="27"/>
      <c r="H1341" s="11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</row>
    <row r="1342" spans="1:32">
      <c r="G1342" s="19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</row>
    <row r="1343" spans="1:32">
      <c r="A1343" s="20"/>
      <c r="B1343" s="5"/>
      <c r="C1343" s="11"/>
      <c r="E1343" s="12"/>
      <c r="F1343" s="18"/>
      <c r="G1343" s="19"/>
      <c r="H1343" s="2"/>
      <c r="I1343" s="2"/>
      <c r="J1343" s="2"/>
      <c r="K1343" s="9"/>
      <c r="AF1343" s="2"/>
    </row>
    <row r="1344" spans="1:32">
      <c r="C1344" s="11"/>
      <c r="E1344" s="12"/>
      <c r="F1344" s="18"/>
      <c r="G1344" s="19"/>
      <c r="H1344" s="2"/>
      <c r="I1344" s="2"/>
      <c r="J1344" s="2"/>
      <c r="K1344" s="9"/>
      <c r="AF1344" s="2"/>
    </row>
    <row r="1345" spans="1:32">
      <c r="A1345" s="11"/>
      <c r="G1345" s="19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</row>
    <row r="1346" spans="1:32">
      <c r="A1346" s="20"/>
      <c r="B1346" s="5"/>
      <c r="G1346" s="2"/>
      <c r="H1346" s="2"/>
      <c r="I1346" s="2"/>
      <c r="J1346" s="10"/>
      <c r="K1346" s="9"/>
      <c r="AF1346" s="2"/>
    </row>
    <row r="1347" spans="1:32">
      <c r="A1347" s="14"/>
      <c r="G1347" s="2"/>
      <c r="H1347" s="2"/>
      <c r="I1347" s="2"/>
      <c r="J1347" s="10"/>
      <c r="K1347" s="9"/>
      <c r="AF1347" s="2"/>
    </row>
    <row r="1348" spans="1:32">
      <c r="A1348" s="11"/>
      <c r="G1348" s="25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  <c r="AF1348" s="2"/>
    </row>
    <row r="1349" spans="1:32">
      <c r="A1349" s="20"/>
      <c r="B1349" s="5"/>
      <c r="C1349" s="11"/>
      <c r="E1349" s="27"/>
      <c r="F1349" s="6"/>
      <c r="G1349" s="28"/>
      <c r="I1349" s="29"/>
      <c r="J1349" s="2"/>
      <c r="K1349" s="9"/>
      <c r="AF1349" s="2"/>
    </row>
    <row r="1350" spans="1:32">
      <c r="A1350" s="22"/>
      <c r="G1350" s="19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</row>
    <row r="1351" spans="1:32">
      <c r="A1351" s="20"/>
      <c r="C1351" s="5"/>
      <c r="E1351" s="12"/>
      <c r="F1351" s="6"/>
      <c r="G1351" s="19"/>
      <c r="H1351" s="2"/>
      <c r="I1351" s="2"/>
      <c r="J1351" s="10"/>
      <c r="K1351" s="9"/>
      <c r="AF1351" s="2"/>
    </row>
    <row r="1352" spans="1:32">
      <c r="A1352" s="14"/>
      <c r="C1352" s="5"/>
      <c r="E1352" s="12"/>
      <c r="F1352" s="6"/>
      <c r="G1352" s="19"/>
      <c r="H1352" s="2"/>
      <c r="I1352" s="2"/>
      <c r="K1352" s="9"/>
      <c r="M1352" s="10"/>
      <c r="AF1352" s="2"/>
    </row>
    <row r="1353" spans="1:32">
      <c r="A1353" s="14"/>
      <c r="G1353" s="19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</row>
    <row r="1354" spans="1:32">
      <c r="A1354" s="20"/>
      <c r="E1354" s="30"/>
      <c r="F1354" s="6"/>
      <c r="G1354" s="19"/>
      <c r="I1354" s="2"/>
      <c r="J1354" s="2"/>
      <c r="K1354" s="9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</row>
    <row r="1355" spans="1:32">
      <c r="A1355" s="14"/>
      <c r="C1355" s="5"/>
      <c r="E1355" s="12"/>
      <c r="F1355" s="6"/>
      <c r="G1355" s="19"/>
      <c r="H1355" s="2"/>
      <c r="I1355" s="2"/>
      <c r="K1355" s="9"/>
      <c r="M1355" s="10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</row>
    <row r="1356" spans="1:32">
      <c r="A1356" s="14"/>
      <c r="B1356" s="16"/>
      <c r="E1356" s="12"/>
      <c r="F1356" s="6"/>
      <c r="G1356" s="32"/>
      <c r="H1356" s="2"/>
      <c r="I1356" s="2"/>
      <c r="K1356" s="10"/>
      <c r="L1356" s="9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</row>
    <row r="1357" spans="1:32">
      <c r="A1357" s="3"/>
      <c r="B1357" s="16"/>
      <c r="E1357" s="12"/>
      <c r="F1357" s="6"/>
      <c r="G1357" s="32"/>
      <c r="H1357" s="2"/>
      <c r="I1357" s="2"/>
      <c r="K1357" s="10"/>
      <c r="L1357" s="9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</row>
    <row r="1358" spans="1:32">
      <c r="A1358" s="3"/>
      <c r="B1358" s="30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2"/>
    </row>
    <row r="1359" spans="1:32">
      <c r="A1359" s="39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2"/>
    </row>
    <row r="1360" spans="1:32">
      <c r="A1360" s="3"/>
      <c r="B1360" s="11"/>
      <c r="C1360" s="11"/>
      <c r="D1360" s="5"/>
      <c r="E1360" s="12"/>
      <c r="F1360" s="6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</row>
    <row r="1361" spans="1:32">
      <c r="B1361" s="11"/>
      <c r="C1361" s="11"/>
      <c r="E1361" s="12"/>
      <c r="F1361" s="18"/>
      <c r="G1361" s="19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</row>
    <row r="1362" spans="1:32">
      <c r="A1362" s="20"/>
      <c r="G1362" s="19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</row>
    <row r="1363" spans="1:32">
      <c r="A1363" s="20"/>
      <c r="B1363" s="16"/>
      <c r="G1363" s="32"/>
      <c r="H1363" s="33"/>
      <c r="I1363" s="33"/>
      <c r="J1363" s="33"/>
      <c r="K1363" s="33"/>
      <c r="L1363" s="33"/>
      <c r="M1363" s="33"/>
      <c r="N1363" s="33"/>
      <c r="O1363" s="33"/>
      <c r="P1363" s="33"/>
      <c r="Q1363" s="33"/>
      <c r="R1363" s="33"/>
      <c r="S1363" s="33"/>
      <c r="T1363" s="33"/>
      <c r="U1363" s="33"/>
      <c r="V1363" s="33"/>
      <c r="W1363" s="33"/>
      <c r="X1363" s="33"/>
      <c r="Y1363" s="33"/>
      <c r="Z1363" s="33"/>
      <c r="AA1363" s="33"/>
      <c r="AB1363" s="33"/>
      <c r="AC1363" s="33"/>
      <c r="AD1363" s="33"/>
      <c r="AE1363" s="33"/>
      <c r="AF1363" s="2"/>
    </row>
    <row r="1364" spans="1:32">
      <c r="A1364" s="20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</row>
    <row r="1365" spans="1:32">
      <c r="A1365" s="3"/>
      <c r="B1365" s="11"/>
      <c r="C1365" s="11"/>
      <c r="D1365" s="11"/>
      <c r="E1365" s="14"/>
      <c r="F1365" s="31"/>
      <c r="G1365" s="19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</row>
    <row r="1366" spans="1:32">
      <c r="A1366" s="20"/>
      <c r="B1366" s="5"/>
      <c r="C1366" s="11"/>
      <c r="E1366" s="12"/>
      <c r="F1366" s="18"/>
      <c r="G1366" s="19"/>
      <c r="H1366" s="2"/>
      <c r="I1366" s="2"/>
      <c r="J1366" s="2"/>
      <c r="K1366" s="26"/>
      <c r="L1366" s="2"/>
      <c r="M1366" s="2"/>
      <c r="N1366" s="2"/>
      <c r="O1366" s="26"/>
      <c r="P1366" s="2"/>
      <c r="Q1366" s="2"/>
      <c r="R1366" s="26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</row>
    <row r="1367" spans="1:32">
      <c r="A1367" s="5"/>
      <c r="G1367" s="19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</row>
    <row r="1368" spans="1:32">
      <c r="A1368" s="20"/>
      <c r="B1368" s="5"/>
      <c r="G1368" s="19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</row>
    <row r="1369" spans="1:32">
      <c r="A1369" s="16"/>
      <c r="E1369" s="12"/>
      <c r="F1369" s="6"/>
      <c r="G1369" s="19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</row>
    <row r="1370" spans="1:32">
      <c r="A1370" s="20"/>
      <c r="C1370" s="5"/>
      <c r="E1370" s="12"/>
      <c r="F1370" s="6"/>
      <c r="G1370" s="19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</row>
    <row r="1371" spans="1:32">
      <c r="A1371" s="20"/>
      <c r="E1371" s="12"/>
      <c r="F1371" s="6"/>
      <c r="G1371" s="19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</row>
    <row r="1372" spans="1:32">
      <c r="A1372" s="20"/>
      <c r="E1372" s="30"/>
      <c r="F1372" s="6"/>
      <c r="G1372" s="19"/>
      <c r="I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</row>
    <row r="1373" spans="1:32">
      <c r="A1373" s="20"/>
      <c r="B1373" s="16"/>
      <c r="E1373" s="30"/>
      <c r="F1373" s="6"/>
      <c r="G1373" s="32"/>
      <c r="H1373" s="33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</row>
    <row r="1374" spans="1:32">
      <c r="A1374" s="20"/>
      <c r="E1374" s="12"/>
      <c r="F1374" s="6"/>
      <c r="G1374" s="2"/>
      <c r="H1374" s="2"/>
      <c r="I1374" s="21"/>
      <c r="J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</row>
    <row r="1375" spans="1:32" s="11" customFormat="1">
      <c r="A1375" s="3"/>
      <c r="D1375"/>
      <c r="E1375" s="27"/>
      <c r="F1375" s="18"/>
      <c r="G1375" s="19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  <c r="V1375" s="24"/>
      <c r="W1375" s="24"/>
      <c r="X1375" s="24"/>
      <c r="Y1375" s="24"/>
      <c r="Z1375" s="24"/>
      <c r="AA1375" s="24"/>
      <c r="AB1375" s="24"/>
      <c r="AC1375" s="24"/>
      <c r="AD1375" s="24"/>
      <c r="AE1375" s="24"/>
      <c r="AF1375" s="28"/>
    </row>
    <row r="1376" spans="1:32" s="11" customFormat="1">
      <c r="A1376" s="3"/>
      <c r="B1376" s="5"/>
      <c r="D1376"/>
      <c r="E1376"/>
      <c r="F1376" s="27"/>
      <c r="H1376" s="2"/>
      <c r="I1376" s="2"/>
      <c r="J1376" s="2"/>
      <c r="K1376" s="2"/>
      <c r="L1376" s="2"/>
      <c r="M1376" s="2"/>
      <c r="N1376" s="28"/>
      <c r="O1376" s="28"/>
      <c r="P1376" s="28"/>
      <c r="Q1376" s="28"/>
      <c r="R1376" s="28"/>
      <c r="S1376" s="28"/>
      <c r="T1376" s="28"/>
      <c r="U1376" s="28"/>
      <c r="V1376" s="28"/>
      <c r="W1376" s="28"/>
      <c r="X1376" s="28"/>
      <c r="Y1376" s="28"/>
      <c r="Z1376" s="28"/>
      <c r="AA1376" s="28"/>
      <c r="AB1376" s="28"/>
      <c r="AC1376" s="28"/>
      <c r="AD1376" s="28"/>
      <c r="AE1376" s="28"/>
      <c r="AF1376" s="28"/>
    </row>
    <row r="1377" spans="1:32" s="11" customFormat="1">
      <c r="A1377" s="3"/>
      <c r="E1377" s="27"/>
      <c r="F1377" s="6"/>
      <c r="G1377" s="19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  <c r="V1377" s="24"/>
      <c r="W1377" s="24"/>
      <c r="X1377" s="24"/>
      <c r="Y1377" s="24"/>
      <c r="Z1377" s="24"/>
      <c r="AA1377" s="24"/>
      <c r="AB1377" s="24"/>
      <c r="AC1377" s="24"/>
      <c r="AD1377" s="24"/>
      <c r="AE1377" s="24"/>
      <c r="AF1377" s="28"/>
    </row>
    <row r="1378" spans="1:32" s="11" customFormat="1">
      <c r="A1378" s="20"/>
      <c r="B1378" s="5"/>
      <c r="D1378"/>
      <c r="E1378" s="27"/>
      <c r="F1378" s="6"/>
      <c r="G1378" s="2"/>
      <c r="I1378" s="29"/>
      <c r="J1378" s="28"/>
      <c r="K1378"/>
      <c r="M1378" s="28"/>
      <c r="N1378" s="2"/>
      <c r="P1378" s="28"/>
      <c r="Q1378" s="28"/>
      <c r="R1378" s="28"/>
      <c r="S1378" s="28"/>
      <c r="T1378" s="28"/>
      <c r="U1378" s="28"/>
      <c r="V1378" s="28"/>
      <c r="W1378" s="28"/>
      <c r="X1378" s="28"/>
      <c r="Y1378" s="28"/>
      <c r="Z1378" s="28"/>
      <c r="AA1378" s="28"/>
      <c r="AB1378" s="28"/>
      <c r="AC1378" s="28"/>
      <c r="AD1378" s="28"/>
      <c r="AE1378" s="28"/>
      <c r="AF1378" s="28"/>
    </row>
    <row r="1379" spans="1:32" s="11" customFormat="1">
      <c r="A1379" s="20"/>
      <c r="B1379" s="14"/>
      <c r="C1379"/>
      <c r="D1379"/>
      <c r="E1379"/>
      <c r="F1379"/>
      <c r="G1379" s="28"/>
      <c r="H1379" s="2"/>
      <c r="I1379" s="29"/>
      <c r="J1379" s="28"/>
      <c r="L1379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W1379" s="28"/>
      <c r="X1379" s="28"/>
      <c r="Y1379" s="28"/>
      <c r="Z1379" s="28"/>
      <c r="AA1379" s="28"/>
      <c r="AB1379" s="28"/>
      <c r="AC1379" s="28"/>
      <c r="AD1379" s="28"/>
      <c r="AE1379" s="28"/>
      <c r="AF1379" s="28"/>
    </row>
    <row r="1380" spans="1:32" s="11" customFormat="1">
      <c r="E1380" s="21"/>
      <c r="F1380" s="6"/>
      <c r="G1380" s="25"/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  <c r="V1380" s="24"/>
      <c r="W1380" s="24"/>
      <c r="X1380" s="24"/>
      <c r="Y1380" s="24"/>
      <c r="Z1380" s="24"/>
      <c r="AA1380" s="24"/>
      <c r="AB1380" s="24"/>
      <c r="AC1380" s="24"/>
      <c r="AD1380" s="24"/>
      <c r="AE1380" s="24"/>
      <c r="AF1380" s="28"/>
    </row>
    <row r="1381" spans="1:32" s="11" customFormat="1">
      <c r="A1381" s="20"/>
      <c r="B1381" s="5"/>
      <c r="D1381"/>
      <c r="E1381" s="27"/>
      <c r="F1381" s="6"/>
      <c r="G1381" s="28"/>
      <c r="H1381"/>
      <c r="I1381" s="29"/>
      <c r="K1381" s="2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W1381" s="28"/>
      <c r="X1381" s="28"/>
      <c r="Y1381" s="28"/>
      <c r="Z1381" s="28"/>
      <c r="AA1381" s="28"/>
      <c r="AB1381" s="28"/>
      <c r="AC1381" s="28"/>
      <c r="AD1381" s="28"/>
      <c r="AE1381" s="28"/>
      <c r="AF1381" s="28"/>
    </row>
    <row r="1382" spans="1:32" s="11" customFormat="1">
      <c r="A1382" s="20"/>
      <c r="E1382" s="27"/>
      <c r="F1382" s="6"/>
      <c r="G1382" s="25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  <c r="V1382" s="24"/>
      <c r="W1382" s="24"/>
      <c r="X1382" s="24"/>
      <c r="Y1382" s="24"/>
      <c r="Z1382" s="24"/>
      <c r="AA1382" s="24"/>
      <c r="AB1382" s="24"/>
      <c r="AC1382" s="24"/>
      <c r="AD1382" s="24"/>
      <c r="AE1382" s="24"/>
      <c r="AF1382" s="28"/>
    </row>
    <row r="1383" spans="1:32">
      <c r="A1383" s="20"/>
      <c r="B1383" s="5"/>
      <c r="E1383" s="2"/>
      <c r="G1383" s="2"/>
      <c r="I1383" s="11"/>
      <c r="J1383" s="28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</row>
    <row r="1384" spans="1:32">
      <c r="B1384" s="12"/>
      <c r="E1384" s="12"/>
      <c r="F1384" s="6"/>
      <c r="G1384" s="32"/>
      <c r="H1384" s="33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</row>
    <row r="1385" spans="1:32">
      <c r="B1385" s="11"/>
      <c r="C1385" s="14"/>
      <c r="E1385" s="12"/>
      <c r="F1385" s="6"/>
      <c r="G1385" s="32"/>
      <c r="H1385" s="33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</row>
    <row r="1386" spans="1:32">
      <c r="B1386" s="16"/>
      <c r="E1386" s="12"/>
      <c r="F1386" s="6"/>
      <c r="G1386" s="32"/>
      <c r="H1386" s="33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</row>
    <row r="1387" spans="1:32"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</row>
    <row r="1388" spans="1:32" s="11" customFormat="1">
      <c r="A1388" s="3"/>
      <c r="E1388" s="27"/>
      <c r="F1388" s="6"/>
      <c r="G1388" s="19"/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  <c r="V1388" s="24"/>
      <c r="W1388" s="24"/>
      <c r="X1388" s="24"/>
      <c r="Y1388" s="24"/>
      <c r="Z1388" s="24"/>
      <c r="AA1388" s="24"/>
      <c r="AB1388" s="24"/>
      <c r="AC1388" s="24"/>
      <c r="AD1388" s="24"/>
      <c r="AE1388" s="24"/>
      <c r="AF1388" s="28"/>
    </row>
    <row r="1389" spans="1:32" s="11" customFormat="1">
      <c r="A1389" s="3"/>
      <c r="B1389" s="5"/>
      <c r="D1389"/>
      <c r="E1389"/>
      <c r="F1389" s="27"/>
      <c r="H1389" s="2"/>
      <c r="I1389" s="2"/>
      <c r="J1389" s="2"/>
      <c r="K1389" s="2"/>
      <c r="L1389" s="2"/>
      <c r="M1389" s="2"/>
      <c r="N1389" s="28"/>
      <c r="O1389" s="28"/>
      <c r="P1389" s="28"/>
      <c r="Q1389" s="28"/>
      <c r="R1389" s="28"/>
      <c r="S1389" s="28"/>
      <c r="T1389" s="28"/>
      <c r="U1389" s="28"/>
      <c r="V1389" s="28"/>
      <c r="W1389" s="28"/>
      <c r="X1389" s="28"/>
      <c r="Y1389" s="28"/>
      <c r="Z1389" s="28"/>
      <c r="AA1389" s="28"/>
      <c r="AB1389" s="28"/>
      <c r="AC1389" s="28"/>
      <c r="AD1389" s="28"/>
      <c r="AE1389" s="28"/>
      <c r="AF1389" s="28"/>
    </row>
    <row r="1390" spans="1:32" s="11" customFormat="1">
      <c r="A1390" s="3"/>
      <c r="E1390" s="27"/>
      <c r="F1390" s="6"/>
      <c r="G1390" s="19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  <c r="V1390" s="24"/>
      <c r="W1390" s="24"/>
      <c r="X1390" s="24"/>
      <c r="Y1390" s="24"/>
      <c r="Z1390" s="24"/>
      <c r="AA1390" s="24"/>
      <c r="AB1390" s="24"/>
      <c r="AC1390" s="24"/>
      <c r="AD1390" s="24"/>
      <c r="AE1390" s="24"/>
      <c r="AF1390" s="28"/>
    </row>
    <row r="1391" spans="1:32" s="11" customFormat="1">
      <c r="A1391" s="20"/>
      <c r="B1391" s="5"/>
      <c r="D1391"/>
      <c r="E1391" s="27"/>
      <c r="F1391" s="6"/>
      <c r="G1391" s="28"/>
      <c r="H1391" s="2"/>
      <c r="I1391" s="29"/>
      <c r="J1391" s="28"/>
      <c r="L1391"/>
      <c r="M1391" s="28"/>
      <c r="N1391"/>
      <c r="O1391" s="28"/>
      <c r="P1391" s="28"/>
      <c r="R1391" s="28"/>
      <c r="S1391" s="28"/>
      <c r="T1391" s="28"/>
      <c r="U1391" s="28"/>
      <c r="V1391" s="28"/>
      <c r="W1391" s="28"/>
      <c r="X1391" s="28"/>
      <c r="Y1391" s="28"/>
      <c r="Z1391" s="28"/>
      <c r="AA1391" s="28"/>
      <c r="AB1391" s="28"/>
      <c r="AC1391" s="28"/>
      <c r="AD1391" s="28"/>
      <c r="AE1391" s="28"/>
      <c r="AF1391" s="28"/>
    </row>
    <row r="1392" spans="1:32" s="11" customFormat="1">
      <c r="A1392" s="20"/>
      <c r="B1392" s="14"/>
      <c r="C1392"/>
      <c r="D1392"/>
      <c r="E1392"/>
      <c r="F1392"/>
      <c r="G1392" s="28"/>
      <c r="H1392" s="2"/>
      <c r="I1392" s="29"/>
      <c r="J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W1392" s="28"/>
      <c r="X1392" s="28"/>
      <c r="Y1392" s="28"/>
      <c r="Z1392" s="28"/>
      <c r="AA1392" s="28"/>
      <c r="AB1392" s="28"/>
      <c r="AC1392" s="28"/>
      <c r="AD1392" s="28"/>
      <c r="AE1392" s="28"/>
      <c r="AF1392" s="28"/>
    </row>
    <row r="1393" spans="1:32" s="11" customFormat="1">
      <c r="A1393" s="14"/>
      <c r="E1393" s="27"/>
      <c r="F1393" s="6"/>
      <c r="G1393" s="25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  <c r="V1393" s="24"/>
      <c r="W1393" s="24"/>
      <c r="X1393" s="24"/>
      <c r="Y1393" s="24"/>
      <c r="Z1393" s="24"/>
      <c r="AA1393" s="24"/>
      <c r="AB1393" s="24"/>
      <c r="AC1393" s="24"/>
      <c r="AD1393" s="24"/>
      <c r="AE1393" s="24"/>
      <c r="AF1393" s="28"/>
    </row>
    <row r="1394" spans="1:32" s="11" customFormat="1">
      <c r="A1394" s="20"/>
      <c r="B1394" s="5"/>
      <c r="D1394"/>
      <c r="E1394" s="27"/>
      <c r="F1394" s="6"/>
      <c r="G1394" s="28"/>
      <c r="H1394"/>
      <c r="I1394" s="29"/>
      <c r="K1394" s="2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W1394" s="28"/>
      <c r="X1394" s="28"/>
      <c r="Y1394" s="28"/>
      <c r="Z1394" s="28"/>
      <c r="AA1394" s="28"/>
      <c r="AB1394" s="28"/>
      <c r="AC1394" s="28"/>
      <c r="AD1394" s="28"/>
      <c r="AE1394" s="28"/>
      <c r="AF1394" s="28"/>
    </row>
    <row r="1395" spans="1:32" s="11" customFormat="1">
      <c r="A1395" s="20"/>
      <c r="E1395" s="27"/>
      <c r="F1395" s="6"/>
      <c r="G1395" s="25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  <c r="V1395" s="24"/>
      <c r="W1395" s="24"/>
      <c r="X1395" s="24"/>
      <c r="Y1395" s="24"/>
      <c r="Z1395" s="24"/>
      <c r="AA1395" s="24"/>
      <c r="AB1395" s="24"/>
      <c r="AC1395" s="24"/>
      <c r="AD1395" s="24"/>
      <c r="AE1395" s="24"/>
      <c r="AF1395" s="28"/>
    </row>
    <row r="1396" spans="1:32" s="11" customFormat="1">
      <c r="A1396" s="20"/>
      <c r="B1396" s="5"/>
      <c r="D1396"/>
      <c r="E1396" s="2"/>
      <c r="F1396"/>
      <c r="G1396" s="2"/>
      <c r="H1396"/>
      <c r="J1396" s="28"/>
      <c r="K1396" s="2"/>
      <c r="L1396" s="12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W1396" s="28"/>
      <c r="X1396" s="28"/>
      <c r="Y1396" s="28"/>
      <c r="Z1396" s="28"/>
      <c r="AA1396" s="28"/>
      <c r="AB1396" s="28"/>
      <c r="AC1396" s="28"/>
      <c r="AD1396" s="28"/>
      <c r="AE1396" s="28"/>
      <c r="AF1396" s="28"/>
    </row>
    <row r="1397" spans="1:32" s="11" customFormat="1">
      <c r="A1397" s="20"/>
      <c r="B1397" s="16"/>
      <c r="E1397" s="27"/>
      <c r="F1397" s="6"/>
      <c r="G1397" s="32"/>
      <c r="H1397" s="33"/>
      <c r="I1397" s="29"/>
      <c r="J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  <c r="W1397" s="28"/>
      <c r="X1397" s="28"/>
      <c r="Y1397" s="28"/>
      <c r="Z1397" s="28"/>
      <c r="AA1397" s="28"/>
      <c r="AB1397" s="28"/>
      <c r="AC1397" s="28"/>
      <c r="AD1397" s="28"/>
      <c r="AE1397" s="28"/>
      <c r="AF1397" s="28"/>
    </row>
    <row r="1398" spans="1:32">
      <c r="A1398" s="20"/>
      <c r="G1398" s="2"/>
      <c r="H1398" s="2"/>
      <c r="I1398" s="2"/>
      <c r="J1398" s="10"/>
      <c r="K1398" s="9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</row>
    <row r="1399" spans="1:32">
      <c r="A1399" s="3"/>
      <c r="G1399" s="19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  <c r="V1399" s="24"/>
      <c r="W1399" s="24"/>
      <c r="X1399" s="24"/>
      <c r="Y1399" s="24"/>
      <c r="Z1399" s="24"/>
      <c r="AA1399" s="24"/>
      <c r="AB1399" s="24"/>
      <c r="AC1399" s="24"/>
      <c r="AD1399" s="24"/>
      <c r="AE1399" s="24"/>
      <c r="AF1399" s="2"/>
    </row>
    <row r="1400" spans="1:32">
      <c r="A1400" s="3"/>
      <c r="C1400" s="5"/>
      <c r="D1400" s="11"/>
      <c r="G1400" s="27"/>
      <c r="H1400" s="11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</row>
    <row r="1401" spans="1:32">
      <c r="C1401" s="5"/>
      <c r="D1401" s="11"/>
      <c r="G1401" s="27"/>
      <c r="H1401" s="11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</row>
    <row r="1402" spans="1:32">
      <c r="G1402" s="19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</row>
    <row r="1403" spans="1:32">
      <c r="A1403" s="20"/>
      <c r="B1403" s="5"/>
      <c r="C1403" s="11"/>
      <c r="E1403" s="12"/>
      <c r="F1403" s="18"/>
      <c r="G1403" s="19"/>
      <c r="H1403" s="2"/>
      <c r="I1403" s="2"/>
      <c r="J1403" s="2"/>
      <c r="K1403" s="9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</row>
    <row r="1404" spans="1:32">
      <c r="C1404" s="11"/>
      <c r="E1404" s="12"/>
      <c r="F1404" s="18"/>
      <c r="G1404" s="19"/>
      <c r="H1404" s="2"/>
      <c r="I1404" s="2"/>
      <c r="J1404" s="2"/>
      <c r="K1404" s="9"/>
      <c r="N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</row>
    <row r="1405" spans="1:32">
      <c r="A1405" s="11"/>
      <c r="G1405" s="19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</row>
    <row r="1406" spans="1:32">
      <c r="A1406" s="20"/>
      <c r="B1406" s="5"/>
      <c r="G1406" s="2"/>
      <c r="H1406" s="2"/>
      <c r="I1406" s="2"/>
      <c r="J1406" s="10"/>
      <c r="K1406" s="9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</row>
    <row r="1407" spans="1:32">
      <c r="A1407" s="14"/>
      <c r="G1407" s="2"/>
      <c r="H1407" s="2"/>
      <c r="I1407" s="2"/>
      <c r="J1407" s="2"/>
      <c r="K1407" s="9"/>
      <c r="N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</row>
    <row r="1408" spans="1:32">
      <c r="A1408" s="11"/>
      <c r="F1408" s="10"/>
      <c r="G1408" s="25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  <c r="V1408" s="24"/>
      <c r="W1408" s="24"/>
      <c r="X1408" s="24"/>
      <c r="Y1408" s="24"/>
      <c r="Z1408" s="24"/>
      <c r="AA1408" s="24"/>
      <c r="AB1408" s="24"/>
      <c r="AC1408" s="24"/>
      <c r="AD1408" s="24"/>
      <c r="AE1408" s="24"/>
      <c r="AF1408" s="2"/>
    </row>
    <row r="1409" spans="1:32">
      <c r="A1409" s="20"/>
      <c r="B1409" s="5"/>
      <c r="C1409" s="11"/>
      <c r="E1409" s="27"/>
      <c r="F1409" s="6"/>
      <c r="G1409" s="28"/>
      <c r="I1409" s="29"/>
      <c r="J1409" s="2"/>
      <c r="K1409" s="9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</row>
    <row r="1410" spans="1:32">
      <c r="A1410" s="22"/>
      <c r="G1410" s="19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</row>
    <row r="1411" spans="1:32">
      <c r="A1411" s="20"/>
      <c r="C1411" s="5"/>
      <c r="E1411" s="12"/>
      <c r="F1411" s="6"/>
      <c r="G1411" s="19"/>
      <c r="H1411" s="2"/>
      <c r="I1411" s="2"/>
      <c r="J1411" s="10"/>
      <c r="K1411" s="9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</row>
    <row r="1412" spans="1:32">
      <c r="A1412" s="14"/>
      <c r="C1412" s="5"/>
      <c r="E1412" s="12"/>
      <c r="F1412" s="6"/>
      <c r="G1412" s="19"/>
      <c r="H1412" s="2"/>
      <c r="I1412" s="2"/>
      <c r="K1412" s="9"/>
      <c r="M1412" s="10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</row>
    <row r="1413" spans="1:32">
      <c r="A1413" s="14"/>
      <c r="G1413" s="19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</row>
    <row r="1414" spans="1:32">
      <c r="A1414" s="20"/>
      <c r="E1414" s="30"/>
      <c r="F1414" s="6"/>
      <c r="G1414" s="19"/>
      <c r="I1414" s="2"/>
      <c r="J1414" s="2"/>
      <c r="K1414" s="9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</row>
    <row r="1415" spans="1:32">
      <c r="A1415" s="14"/>
      <c r="C1415" s="5"/>
      <c r="E1415" s="12"/>
      <c r="F1415" s="6"/>
      <c r="G1415" s="19"/>
      <c r="H1415" s="2"/>
      <c r="I1415" s="2"/>
      <c r="K1415" s="9"/>
      <c r="M1415" s="10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</row>
    <row r="1416" spans="1:32">
      <c r="A1416" s="14"/>
      <c r="B1416" s="16"/>
      <c r="E1416" s="12"/>
      <c r="F1416" s="6"/>
      <c r="G1416" s="32"/>
      <c r="H1416" s="2"/>
      <c r="I1416" s="2"/>
      <c r="K1416" s="10"/>
      <c r="L1416" s="9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</row>
    <row r="1417" spans="1:32">
      <c r="A1417" s="3"/>
      <c r="E1417" s="12"/>
      <c r="F1417" s="6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</row>
    <row r="1418" spans="1:32">
      <c r="A1418" s="3"/>
      <c r="G1418" s="19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  <c r="V1418" s="24"/>
      <c r="W1418" s="24"/>
      <c r="X1418" s="24"/>
      <c r="Y1418" s="24"/>
      <c r="Z1418" s="24"/>
      <c r="AA1418" s="24"/>
      <c r="AB1418" s="24"/>
      <c r="AC1418" s="24"/>
      <c r="AD1418" s="24"/>
      <c r="AE1418" s="24"/>
      <c r="AF1418" s="2"/>
    </row>
    <row r="1419" spans="1:32">
      <c r="A1419" s="3"/>
      <c r="C1419" s="5"/>
      <c r="D1419" s="11"/>
      <c r="G1419" s="27"/>
      <c r="H1419" s="11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</row>
    <row r="1420" spans="1:32">
      <c r="G1420" s="19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</row>
    <row r="1421" spans="1:32">
      <c r="A1421" s="20"/>
      <c r="B1421" s="5"/>
      <c r="C1421" s="11"/>
      <c r="E1421" s="12"/>
      <c r="F1421" s="18"/>
      <c r="G1421" s="19"/>
      <c r="H1421" s="2"/>
      <c r="I1421" s="2"/>
      <c r="J1421" s="2"/>
      <c r="K1421" s="9"/>
      <c r="AF1421" s="2"/>
    </row>
    <row r="1422" spans="1:32">
      <c r="C1422" s="11"/>
      <c r="E1422" s="12"/>
      <c r="F1422" s="18"/>
      <c r="G1422" s="19"/>
      <c r="H1422" s="2"/>
      <c r="I1422" s="2"/>
      <c r="J1422" s="2"/>
      <c r="K1422" s="9"/>
      <c r="AF1422" s="2"/>
    </row>
    <row r="1423" spans="1:32">
      <c r="A1423" s="11"/>
      <c r="G1423" s="19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</row>
    <row r="1424" spans="1:32">
      <c r="A1424" s="20"/>
      <c r="B1424" s="5"/>
      <c r="G1424" s="2"/>
      <c r="H1424" s="2"/>
      <c r="I1424" s="2"/>
      <c r="J1424" s="10"/>
      <c r="K1424" s="9"/>
      <c r="AF1424" s="2"/>
    </row>
    <row r="1425" spans="1:32">
      <c r="A1425" s="14"/>
      <c r="G1425" s="2"/>
      <c r="H1425" s="2"/>
      <c r="I1425" s="2"/>
      <c r="J1425" s="10"/>
      <c r="K1425" s="9"/>
      <c r="AF1425" s="2"/>
    </row>
    <row r="1426" spans="1:32">
      <c r="A1426" s="11"/>
      <c r="G1426" s="25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  <c r="V1426" s="24"/>
      <c r="W1426" s="24"/>
      <c r="X1426" s="24"/>
      <c r="Y1426" s="24"/>
      <c r="Z1426" s="24"/>
      <c r="AA1426" s="24"/>
      <c r="AB1426" s="24"/>
      <c r="AC1426" s="24"/>
      <c r="AD1426" s="24"/>
      <c r="AE1426" s="24"/>
      <c r="AF1426" s="2"/>
    </row>
    <row r="1427" spans="1:32">
      <c r="A1427" s="20"/>
      <c r="B1427" s="5"/>
      <c r="C1427" s="11"/>
      <c r="E1427" s="27"/>
      <c r="F1427" s="6"/>
      <c r="G1427" s="28"/>
      <c r="I1427" s="29"/>
      <c r="J1427" s="2"/>
      <c r="K1427" s="9"/>
      <c r="AF1427" s="2"/>
    </row>
    <row r="1428" spans="1:32">
      <c r="A1428" s="22"/>
      <c r="G1428" s="19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</row>
    <row r="1429" spans="1:32">
      <c r="A1429" s="20"/>
      <c r="C1429" s="5"/>
      <c r="E1429" s="12"/>
      <c r="F1429" s="6"/>
      <c r="G1429" s="19"/>
      <c r="H1429" s="2"/>
      <c r="I1429" s="2"/>
      <c r="J1429" s="10"/>
      <c r="K1429" s="9"/>
      <c r="AF1429" s="2"/>
    </row>
    <row r="1430" spans="1:32">
      <c r="A1430" s="14"/>
      <c r="C1430" s="5"/>
      <c r="E1430" s="12"/>
      <c r="F1430" s="6"/>
      <c r="G1430" s="19"/>
      <c r="H1430" s="2"/>
      <c r="I1430" s="2"/>
      <c r="K1430" s="9"/>
      <c r="M1430" s="10"/>
      <c r="AF1430" s="2"/>
    </row>
    <row r="1431" spans="1:32">
      <c r="A1431" s="14"/>
      <c r="G1431" s="19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</row>
    <row r="1432" spans="1:32">
      <c r="A1432" s="20"/>
      <c r="E1432" s="30"/>
      <c r="F1432" s="6"/>
      <c r="G1432" s="19"/>
      <c r="I1432" s="2"/>
      <c r="J1432" s="2"/>
      <c r="K1432" s="9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</row>
    <row r="1433" spans="1:32">
      <c r="A1433" s="14"/>
      <c r="C1433" s="5"/>
      <c r="E1433" s="12"/>
      <c r="F1433" s="6"/>
      <c r="G1433" s="19"/>
      <c r="H1433" s="2"/>
      <c r="I1433" s="2"/>
      <c r="K1433" s="9"/>
      <c r="M1433" s="10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</row>
    <row r="1434" spans="1:32">
      <c r="A1434" s="14"/>
      <c r="B1434" s="16"/>
      <c r="E1434" s="12"/>
      <c r="F1434" s="6"/>
      <c r="G1434" s="32"/>
      <c r="H1434" s="2"/>
      <c r="I1434" s="2"/>
      <c r="K1434" s="10"/>
      <c r="L1434" s="9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</row>
    <row r="1435" spans="1:32">
      <c r="A1435" s="3"/>
      <c r="B1435" s="16"/>
      <c r="E1435" s="12"/>
      <c r="F1435" s="6"/>
      <c r="G1435" s="32"/>
      <c r="H1435" s="2"/>
      <c r="I1435" s="2"/>
      <c r="K1435" s="10"/>
      <c r="L1435" s="9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</row>
    <row r="1436" spans="1:32">
      <c r="A1436" s="3"/>
      <c r="B1436" s="30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2"/>
    </row>
    <row r="1437" spans="1:32">
      <c r="A1437" s="39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2"/>
    </row>
    <row r="1438" spans="1:32">
      <c r="A1438" s="3"/>
      <c r="B1438" s="11"/>
      <c r="C1438" s="11"/>
      <c r="D1438" s="5"/>
      <c r="E1438" s="12"/>
      <c r="F1438" s="6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</row>
    <row r="1439" spans="1:32">
      <c r="B1439" s="11"/>
      <c r="C1439" s="11"/>
      <c r="E1439" s="12"/>
      <c r="F1439" s="18"/>
      <c r="G1439" s="19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</row>
    <row r="1440" spans="1:32">
      <c r="A1440" s="20"/>
      <c r="G1440" s="19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</row>
    <row r="1441" spans="1:32">
      <c r="A1441" s="20"/>
      <c r="B1441" s="16"/>
      <c r="G1441" s="32"/>
      <c r="H1441" s="33"/>
      <c r="I1441" s="33"/>
      <c r="J1441" s="33"/>
      <c r="K1441" s="33"/>
      <c r="L1441" s="33"/>
      <c r="M1441" s="33"/>
      <c r="N1441" s="33"/>
      <c r="O1441" s="33"/>
      <c r="P1441" s="33"/>
      <c r="Q1441" s="33"/>
      <c r="R1441" s="33"/>
      <c r="S1441" s="33"/>
      <c r="T1441" s="33"/>
      <c r="U1441" s="33"/>
      <c r="V1441" s="33"/>
      <c r="W1441" s="33"/>
      <c r="X1441" s="33"/>
      <c r="Y1441" s="33"/>
      <c r="Z1441" s="33"/>
      <c r="AA1441" s="33"/>
      <c r="AB1441" s="33"/>
      <c r="AC1441" s="33"/>
      <c r="AD1441" s="33"/>
      <c r="AE1441" s="33"/>
      <c r="AF1441" s="2"/>
    </row>
    <row r="1442" spans="1:32">
      <c r="A1442" s="20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</row>
    <row r="1443" spans="1:32">
      <c r="A1443" s="3"/>
      <c r="B1443" s="11"/>
      <c r="C1443" s="11"/>
      <c r="D1443" s="11"/>
      <c r="E1443" s="14"/>
      <c r="F1443" s="31"/>
      <c r="G1443" s="19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</row>
    <row r="1444" spans="1:32">
      <c r="A1444" s="20"/>
      <c r="B1444" s="5"/>
      <c r="C1444" s="11"/>
      <c r="E1444" s="12"/>
      <c r="F1444" s="18"/>
      <c r="G1444" s="19"/>
      <c r="H1444" s="2"/>
      <c r="I1444" s="2"/>
      <c r="J1444" s="2"/>
      <c r="K1444" s="26"/>
      <c r="L1444" s="2"/>
      <c r="M1444" s="2"/>
      <c r="N1444" s="2"/>
      <c r="O1444" s="26"/>
      <c r="P1444" s="2"/>
      <c r="Q1444" s="2"/>
      <c r="R1444" s="26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</row>
    <row r="1445" spans="1:32">
      <c r="A1445" s="5"/>
      <c r="G1445" s="19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</row>
    <row r="1446" spans="1:32">
      <c r="A1446" s="20"/>
      <c r="B1446" s="5"/>
      <c r="G1446" s="19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</row>
    <row r="1447" spans="1:32">
      <c r="A1447" s="16"/>
      <c r="E1447" s="12"/>
      <c r="F1447" s="6"/>
      <c r="G1447" s="19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</row>
    <row r="1448" spans="1:32">
      <c r="A1448" s="20"/>
      <c r="C1448" s="5"/>
      <c r="E1448" s="12"/>
      <c r="F1448" s="6"/>
      <c r="G1448" s="19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</row>
    <row r="1449" spans="1:32">
      <c r="A1449" s="20"/>
      <c r="E1449" s="12"/>
      <c r="F1449" s="6"/>
      <c r="G1449" s="19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</row>
    <row r="1450" spans="1:32">
      <c r="A1450" s="20"/>
      <c r="E1450" s="30"/>
      <c r="F1450" s="6"/>
      <c r="G1450" s="19"/>
      <c r="I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</row>
    <row r="1451" spans="1:32">
      <c r="A1451" s="20"/>
      <c r="B1451" s="16"/>
      <c r="E1451" s="30"/>
      <c r="F1451" s="6"/>
      <c r="G1451" s="32"/>
      <c r="H1451" s="33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</row>
    <row r="1452" spans="1:32">
      <c r="A1452" s="20"/>
      <c r="E1452" s="12"/>
      <c r="F1452" s="6"/>
      <c r="G1452" s="2"/>
      <c r="H1452" s="2"/>
      <c r="I1452" s="21"/>
      <c r="J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</row>
    <row r="1453" spans="1:32" s="11" customFormat="1">
      <c r="A1453" s="3"/>
      <c r="D1453"/>
      <c r="E1453" s="27"/>
      <c r="F1453" s="18"/>
      <c r="G1453" s="19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  <c r="V1453" s="24"/>
      <c r="W1453" s="24"/>
      <c r="X1453" s="24"/>
      <c r="Y1453" s="24"/>
      <c r="Z1453" s="24"/>
      <c r="AA1453" s="24"/>
      <c r="AB1453" s="24"/>
      <c r="AC1453" s="24"/>
      <c r="AD1453" s="24"/>
      <c r="AE1453" s="24"/>
      <c r="AF1453" s="28"/>
    </row>
    <row r="1454" spans="1:32" s="11" customFormat="1">
      <c r="A1454" s="3"/>
      <c r="B1454" s="5"/>
      <c r="D1454"/>
      <c r="E1454"/>
      <c r="F1454" s="27"/>
      <c r="H1454" s="2"/>
      <c r="I1454" s="2"/>
      <c r="J1454" s="2"/>
      <c r="K1454" s="2"/>
      <c r="L1454" s="2"/>
      <c r="M1454" s="2"/>
      <c r="N1454" s="28"/>
      <c r="O1454" s="28"/>
      <c r="P1454" s="28"/>
      <c r="Q1454" s="28"/>
      <c r="R1454" s="28"/>
      <c r="S1454" s="28"/>
      <c r="T1454" s="28"/>
      <c r="U1454" s="28"/>
      <c r="V1454" s="28"/>
      <c r="W1454" s="28"/>
      <c r="X1454" s="28"/>
      <c r="Y1454" s="28"/>
      <c r="Z1454" s="28"/>
      <c r="AA1454" s="28"/>
      <c r="AB1454" s="28"/>
      <c r="AC1454" s="28"/>
      <c r="AD1454" s="28"/>
      <c r="AE1454" s="28"/>
      <c r="AF1454" s="28"/>
    </row>
    <row r="1455" spans="1:32" s="11" customFormat="1">
      <c r="A1455" s="3"/>
      <c r="E1455" s="27"/>
      <c r="F1455" s="6"/>
      <c r="G1455" s="19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  <c r="V1455" s="24"/>
      <c r="W1455" s="24"/>
      <c r="X1455" s="24"/>
      <c r="Y1455" s="24"/>
      <c r="Z1455" s="24"/>
      <c r="AA1455" s="24"/>
      <c r="AB1455" s="24"/>
      <c r="AC1455" s="24"/>
      <c r="AD1455" s="24"/>
      <c r="AE1455" s="24"/>
      <c r="AF1455" s="28"/>
    </row>
    <row r="1456" spans="1:32" s="11" customFormat="1">
      <c r="A1456" s="20"/>
      <c r="B1456" s="5"/>
      <c r="D1456"/>
      <c r="E1456" s="27"/>
      <c r="F1456" s="6"/>
      <c r="G1456" s="2"/>
      <c r="I1456" s="29"/>
      <c r="J1456" s="28"/>
      <c r="K1456"/>
      <c r="M1456" s="28"/>
      <c r="N1456" s="2"/>
      <c r="P1456" s="28"/>
      <c r="Q1456" s="28"/>
      <c r="R1456" s="28"/>
      <c r="S1456" s="28"/>
      <c r="T1456" s="28"/>
      <c r="U1456" s="28"/>
      <c r="V1456" s="28"/>
      <c r="W1456" s="28"/>
      <c r="X1456" s="28"/>
      <c r="Y1456" s="28"/>
      <c r="Z1456" s="28"/>
      <c r="AA1456" s="28"/>
      <c r="AB1456" s="28"/>
      <c r="AC1456" s="28"/>
      <c r="AD1456" s="28"/>
      <c r="AE1456" s="28"/>
      <c r="AF1456" s="28"/>
    </row>
    <row r="1457" spans="1:32" s="11" customFormat="1">
      <c r="A1457" s="20"/>
      <c r="B1457" s="14"/>
      <c r="C1457"/>
      <c r="D1457"/>
      <c r="E1457"/>
      <c r="F1457"/>
      <c r="G1457" s="28"/>
      <c r="H1457" s="2"/>
      <c r="I1457" s="29"/>
      <c r="J1457" s="28"/>
      <c r="L1457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W1457" s="28"/>
      <c r="X1457" s="28"/>
      <c r="Y1457" s="28"/>
      <c r="Z1457" s="28"/>
      <c r="AA1457" s="28"/>
      <c r="AB1457" s="28"/>
      <c r="AC1457" s="28"/>
      <c r="AD1457" s="28"/>
      <c r="AE1457" s="28"/>
      <c r="AF1457" s="28"/>
    </row>
    <row r="1458" spans="1:32" s="11" customFormat="1">
      <c r="E1458" s="21"/>
      <c r="F1458" s="6"/>
      <c r="G1458" s="25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  <c r="V1458" s="24"/>
      <c r="W1458" s="24"/>
      <c r="X1458" s="24"/>
      <c r="Y1458" s="24"/>
      <c r="Z1458" s="24"/>
      <c r="AA1458" s="24"/>
      <c r="AB1458" s="24"/>
      <c r="AC1458" s="24"/>
      <c r="AD1458" s="24"/>
      <c r="AE1458" s="24"/>
      <c r="AF1458" s="28"/>
    </row>
    <row r="1459" spans="1:32" s="11" customFormat="1">
      <c r="A1459" s="20"/>
      <c r="B1459" s="5"/>
      <c r="D1459"/>
      <c r="E1459" s="27"/>
      <c r="F1459" s="6"/>
      <c r="G1459" s="28"/>
      <c r="H1459"/>
      <c r="I1459" s="29"/>
      <c r="K1459" s="2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  <c r="W1459" s="28"/>
      <c r="X1459" s="28"/>
      <c r="Y1459" s="28"/>
      <c r="Z1459" s="28"/>
      <c r="AA1459" s="28"/>
      <c r="AB1459" s="28"/>
      <c r="AC1459" s="28"/>
      <c r="AD1459" s="28"/>
      <c r="AE1459" s="28"/>
      <c r="AF1459" s="28"/>
    </row>
    <row r="1460" spans="1:32" s="11" customFormat="1">
      <c r="A1460" s="20"/>
      <c r="E1460" s="27"/>
      <c r="F1460" s="6"/>
      <c r="G1460" s="25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  <c r="V1460" s="24"/>
      <c r="W1460" s="24"/>
      <c r="X1460" s="24"/>
      <c r="Y1460" s="24"/>
      <c r="Z1460" s="24"/>
      <c r="AA1460" s="24"/>
      <c r="AB1460" s="24"/>
      <c r="AC1460" s="24"/>
      <c r="AD1460" s="24"/>
      <c r="AE1460" s="24"/>
      <c r="AF1460" s="28"/>
    </row>
    <row r="1461" spans="1:32">
      <c r="A1461" s="20"/>
      <c r="B1461" s="5"/>
      <c r="E1461" s="2"/>
      <c r="G1461" s="2"/>
      <c r="I1461" s="11"/>
      <c r="J1461" s="28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</row>
    <row r="1462" spans="1:32">
      <c r="B1462" s="12"/>
      <c r="E1462" s="12"/>
      <c r="F1462" s="6"/>
      <c r="G1462" s="32"/>
      <c r="H1462" s="33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</row>
    <row r="1463" spans="1:32">
      <c r="B1463" s="11"/>
      <c r="C1463" s="14"/>
      <c r="E1463" s="12"/>
      <c r="F1463" s="6"/>
      <c r="G1463" s="32"/>
      <c r="H1463" s="33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</row>
    <row r="1464" spans="1:32">
      <c r="B1464" s="16"/>
      <c r="E1464" s="12"/>
      <c r="F1464" s="6"/>
      <c r="G1464" s="32"/>
      <c r="H1464" s="33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</row>
    <row r="1465" spans="1:32"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</row>
    <row r="1466" spans="1:32" s="11" customFormat="1">
      <c r="A1466" s="3"/>
      <c r="E1466" s="27"/>
      <c r="F1466" s="6"/>
      <c r="G1466" s="19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  <c r="AE1466" s="24"/>
      <c r="AF1466" s="28"/>
    </row>
    <row r="1467" spans="1:32" s="11" customFormat="1">
      <c r="A1467" s="3"/>
      <c r="B1467" s="5"/>
      <c r="D1467"/>
      <c r="E1467"/>
      <c r="F1467" s="27"/>
      <c r="H1467" s="2"/>
      <c r="I1467" s="2"/>
      <c r="J1467" s="2"/>
      <c r="K1467" s="2"/>
      <c r="L1467" s="2"/>
      <c r="M1467" s="2"/>
      <c r="N1467" s="28"/>
      <c r="O1467" s="28"/>
      <c r="P1467" s="28"/>
      <c r="Q1467" s="28"/>
      <c r="R1467" s="28"/>
      <c r="S1467" s="28"/>
      <c r="T1467" s="28"/>
      <c r="U1467" s="28"/>
      <c r="V1467" s="28"/>
      <c r="W1467" s="28"/>
      <c r="X1467" s="28"/>
      <c r="Y1467" s="28"/>
      <c r="Z1467" s="28"/>
      <c r="AA1467" s="28"/>
      <c r="AB1467" s="28"/>
      <c r="AC1467" s="28"/>
      <c r="AD1467" s="28"/>
      <c r="AE1467" s="28"/>
      <c r="AF1467" s="28"/>
    </row>
    <row r="1468" spans="1:32" s="11" customFormat="1">
      <c r="A1468" s="3"/>
      <c r="E1468" s="27"/>
      <c r="F1468" s="6"/>
      <c r="G1468" s="19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  <c r="V1468" s="24"/>
      <c r="W1468" s="24"/>
      <c r="X1468" s="24"/>
      <c r="Y1468" s="24"/>
      <c r="Z1468" s="24"/>
      <c r="AA1468" s="24"/>
      <c r="AB1468" s="24"/>
      <c r="AC1468" s="24"/>
      <c r="AD1468" s="24"/>
      <c r="AE1468" s="24"/>
      <c r="AF1468" s="28"/>
    </row>
    <row r="1469" spans="1:32" s="11" customFormat="1">
      <c r="A1469" s="20"/>
      <c r="B1469" s="5"/>
      <c r="D1469"/>
      <c r="E1469" s="27"/>
      <c r="F1469" s="6"/>
      <c r="G1469" s="28"/>
      <c r="H1469" s="2"/>
      <c r="I1469" s="29"/>
      <c r="J1469" s="28"/>
      <c r="L1469"/>
      <c r="M1469" s="28"/>
      <c r="N1469"/>
      <c r="O1469" s="28"/>
      <c r="P1469" s="28"/>
      <c r="R1469" s="28"/>
      <c r="S1469" s="28"/>
      <c r="T1469" s="28"/>
      <c r="U1469" s="28"/>
      <c r="V1469" s="28"/>
      <c r="W1469" s="28"/>
      <c r="X1469" s="28"/>
      <c r="Y1469" s="28"/>
      <c r="Z1469" s="28"/>
      <c r="AA1469" s="28"/>
      <c r="AB1469" s="28"/>
      <c r="AC1469" s="28"/>
      <c r="AD1469" s="28"/>
      <c r="AE1469" s="28"/>
      <c r="AF1469" s="28"/>
    </row>
    <row r="1470" spans="1:32" s="11" customFormat="1">
      <c r="A1470" s="20"/>
      <c r="B1470" s="14"/>
      <c r="C1470"/>
      <c r="D1470"/>
      <c r="E1470"/>
      <c r="F1470"/>
      <c r="G1470" s="28"/>
      <c r="H1470" s="2"/>
      <c r="I1470" s="29"/>
      <c r="J1470" s="28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W1470" s="28"/>
      <c r="X1470" s="28"/>
      <c r="Y1470" s="28"/>
      <c r="Z1470" s="28"/>
      <c r="AA1470" s="28"/>
      <c r="AB1470" s="28"/>
      <c r="AC1470" s="28"/>
      <c r="AD1470" s="28"/>
      <c r="AE1470" s="28"/>
      <c r="AF1470" s="28"/>
    </row>
    <row r="1471" spans="1:32" s="11" customFormat="1">
      <c r="A1471" s="14"/>
      <c r="E1471" s="27"/>
      <c r="F1471" s="6"/>
      <c r="G1471" s="25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  <c r="V1471" s="24"/>
      <c r="W1471" s="24"/>
      <c r="X1471" s="24"/>
      <c r="Y1471" s="24"/>
      <c r="Z1471" s="24"/>
      <c r="AA1471" s="24"/>
      <c r="AB1471" s="24"/>
      <c r="AC1471" s="24"/>
      <c r="AD1471" s="24"/>
      <c r="AE1471" s="24"/>
      <c r="AF1471" s="28"/>
    </row>
    <row r="1472" spans="1:32" s="11" customFormat="1">
      <c r="A1472" s="20"/>
      <c r="B1472" s="5"/>
      <c r="D1472"/>
      <c r="E1472" s="27"/>
      <c r="F1472" s="6"/>
      <c r="G1472" s="28"/>
      <c r="H1472"/>
      <c r="I1472" s="29"/>
      <c r="K1472" s="2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W1472" s="28"/>
      <c r="X1472" s="28"/>
      <c r="Y1472" s="28"/>
      <c r="Z1472" s="28"/>
      <c r="AA1472" s="28"/>
      <c r="AB1472" s="28"/>
      <c r="AC1472" s="28"/>
      <c r="AD1472" s="28"/>
      <c r="AE1472" s="28"/>
      <c r="AF1472" s="28"/>
    </row>
    <row r="1473" spans="1:32" s="11" customFormat="1">
      <c r="A1473" s="20"/>
      <c r="E1473" s="27"/>
      <c r="F1473" s="6"/>
      <c r="G1473" s="25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  <c r="V1473" s="24"/>
      <c r="W1473" s="24"/>
      <c r="X1473" s="24"/>
      <c r="Y1473" s="24"/>
      <c r="Z1473" s="24"/>
      <c r="AA1473" s="24"/>
      <c r="AB1473" s="24"/>
      <c r="AC1473" s="24"/>
      <c r="AD1473" s="24"/>
      <c r="AE1473" s="24"/>
      <c r="AF1473" s="28"/>
    </row>
    <row r="1474" spans="1:32" s="11" customFormat="1">
      <c r="A1474" s="20"/>
      <c r="B1474" s="5"/>
      <c r="D1474"/>
      <c r="E1474" s="2"/>
      <c r="F1474"/>
      <c r="G1474" s="2"/>
      <c r="H1474"/>
      <c r="J1474" s="28"/>
      <c r="K1474" s="2"/>
      <c r="L1474" s="12"/>
      <c r="M1474" s="28"/>
      <c r="N1474" s="28"/>
      <c r="O1474" s="28"/>
      <c r="P1474" s="28"/>
      <c r="Q1474" s="28"/>
      <c r="R1474" s="28"/>
      <c r="S1474" s="28"/>
      <c r="T1474" s="28"/>
      <c r="U1474" s="28"/>
      <c r="V1474" s="28"/>
      <c r="W1474" s="28"/>
      <c r="X1474" s="28"/>
      <c r="Y1474" s="28"/>
      <c r="Z1474" s="28"/>
      <c r="AA1474" s="28"/>
      <c r="AB1474" s="28"/>
      <c r="AC1474" s="28"/>
      <c r="AD1474" s="28"/>
      <c r="AE1474" s="28"/>
      <c r="AF1474" s="28"/>
    </row>
    <row r="1475" spans="1:32" s="11" customFormat="1">
      <c r="A1475" s="20"/>
      <c r="B1475" s="16"/>
      <c r="E1475" s="27"/>
      <c r="F1475" s="6"/>
      <c r="G1475" s="32"/>
      <c r="H1475" s="33"/>
      <c r="I1475" s="29"/>
      <c r="J1475" s="28"/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  <c r="W1475" s="28"/>
      <c r="X1475" s="28"/>
      <c r="Y1475" s="28"/>
      <c r="Z1475" s="28"/>
      <c r="AA1475" s="28"/>
      <c r="AB1475" s="28"/>
      <c r="AC1475" s="28"/>
      <c r="AD1475" s="28"/>
      <c r="AE1475" s="28"/>
      <c r="AF1475" s="28"/>
    </row>
    <row r="1476" spans="1:32">
      <c r="A1476" s="20"/>
      <c r="G1476" s="2"/>
      <c r="H1476" s="2"/>
      <c r="I1476" s="2"/>
      <c r="J1476" s="10"/>
      <c r="K1476" s="9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</row>
    <row r="1477" spans="1:32">
      <c r="A1477" s="3"/>
      <c r="G1477" s="19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  <c r="V1477" s="24"/>
      <c r="W1477" s="24"/>
      <c r="X1477" s="24"/>
      <c r="Y1477" s="24"/>
      <c r="Z1477" s="24"/>
      <c r="AA1477" s="24"/>
      <c r="AB1477" s="24"/>
      <c r="AC1477" s="24"/>
      <c r="AD1477" s="24"/>
      <c r="AE1477" s="24"/>
      <c r="AF1477" s="2"/>
    </row>
    <row r="1478" spans="1:32">
      <c r="A1478" s="3"/>
      <c r="C1478" s="5"/>
      <c r="D1478" s="11"/>
      <c r="G1478" s="27"/>
      <c r="H1478" s="11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</row>
    <row r="1479" spans="1:32">
      <c r="C1479" s="5"/>
      <c r="D1479" s="11"/>
      <c r="G1479" s="27"/>
      <c r="H1479" s="11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</row>
    <row r="1480" spans="1:32">
      <c r="G1480" s="19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</row>
    <row r="1481" spans="1:32">
      <c r="A1481" s="20"/>
      <c r="B1481" s="5"/>
      <c r="C1481" s="11"/>
      <c r="E1481" s="12"/>
      <c r="F1481" s="18"/>
      <c r="G1481" s="19"/>
      <c r="H1481" s="2"/>
      <c r="I1481" s="2"/>
      <c r="J1481" s="2"/>
      <c r="K1481" s="9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</row>
    <row r="1482" spans="1:32">
      <c r="C1482" s="11"/>
      <c r="E1482" s="12"/>
      <c r="F1482" s="18"/>
      <c r="G1482" s="19"/>
      <c r="H1482" s="2"/>
      <c r="I1482" s="2"/>
      <c r="J1482" s="2"/>
      <c r="K1482" s="9"/>
      <c r="N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</row>
    <row r="1483" spans="1:32">
      <c r="A1483" s="11"/>
      <c r="G1483" s="19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</row>
    <row r="1484" spans="1:32">
      <c r="A1484" s="20"/>
      <c r="B1484" s="5"/>
      <c r="G1484" s="2"/>
      <c r="H1484" s="2"/>
      <c r="I1484" s="2"/>
      <c r="J1484" s="10"/>
      <c r="K1484" s="9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</row>
    <row r="1485" spans="1:32">
      <c r="A1485" s="14"/>
      <c r="G1485" s="2"/>
      <c r="H1485" s="2"/>
      <c r="I1485" s="2"/>
      <c r="J1485" s="2"/>
      <c r="K1485" s="9"/>
      <c r="N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</row>
    <row r="1486" spans="1:32">
      <c r="A1486" s="11"/>
      <c r="F1486" s="10"/>
      <c r="G1486" s="25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  <c r="AE1486" s="24"/>
      <c r="AF1486" s="2"/>
    </row>
    <row r="1487" spans="1:32">
      <c r="A1487" s="20"/>
      <c r="B1487" s="5"/>
      <c r="C1487" s="11"/>
      <c r="E1487" s="27"/>
      <c r="F1487" s="6"/>
      <c r="G1487" s="28"/>
      <c r="I1487" s="29"/>
      <c r="J1487" s="2"/>
      <c r="K1487" s="9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</row>
    <row r="1488" spans="1:32">
      <c r="A1488" s="22"/>
      <c r="G1488" s="19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</row>
    <row r="1489" spans="1:32">
      <c r="A1489" s="20"/>
      <c r="C1489" s="5"/>
      <c r="E1489" s="12"/>
      <c r="F1489" s="6"/>
      <c r="G1489" s="19"/>
      <c r="H1489" s="2"/>
      <c r="I1489" s="2"/>
      <c r="J1489" s="10"/>
      <c r="K1489" s="9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</row>
    <row r="1490" spans="1:32">
      <c r="A1490" s="14"/>
      <c r="C1490" s="5"/>
      <c r="E1490" s="12"/>
      <c r="F1490" s="6"/>
      <c r="G1490" s="19"/>
      <c r="H1490" s="2"/>
      <c r="I1490" s="2"/>
      <c r="K1490" s="9"/>
      <c r="M1490" s="10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</row>
    <row r="1491" spans="1:32">
      <c r="A1491" s="14"/>
      <c r="G1491" s="19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</row>
    <row r="1492" spans="1:32">
      <c r="A1492" s="20"/>
      <c r="E1492" s="30"/>
      <c r="F1492" s="6"/>
      <c r="G1492" s="19"/>
      <c r="I1492" s="2"/>
      <c r="J1492" s="2"/>
      <c r="K1492" s="9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</row>
    <row r="1493" spans="1:32">
      <c r="A1493" s="14"/>
      <c r="C1493" s="5"/>
      <c r="E1493" s="12"/>
      <c r="F1493" s="6"/>
      <c r="G1493" s="19"/>
      <c r="H1493" s="2"/>
      <c r="I1493" s="2"/>
      <c r="K1493" s="9"/>
      <c r="M1493" s="10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</row>
    <row r="1494" spans="1:32">
      <c r="A1494" s="14"/>
      <c r="B1494" s="16"/>
      <c r="E1494" s="12"/>
      <c r="F1494" s="6"/>
      <c r="G1494" s="32"/>
      <c r="H1494" s="2"/>
      <c r="I1494" s="2"/>
      <c r="K1494" s="10"/>
      <c r="L1494" s="9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</row>
    <row r="1495" spans="1:32">
      <c r="A1495" s="3"/>
      <c r="E1495" s="12"/>
      <c r="F1495" s="6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</row>
    <row r="1496" spans="1:32">
      <c r="A1496" s="3"/>
      <c r="G1496" s="19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  <c r="V1496" s="24"/>
      <c r="W1496" s="24"/>
      <c r="X1496" s="24"/>
      <c r="Y1496" s="24"/>
      <c r="Z1496" s="24"/>
      <c r="AA1496" s="24"/>
      <c r="AB1496" s="24"/>
      <c r="AC1496" s="24"/>
      <c r="AD1496" s="24"/>
      <c r="AE1496" s="24"/>
      <c r="AF1496" s="2"/>
    </row>
    <row r="1497" spans="1:32">
      <c r="A1497" s="3"/>
      <c r="C1497" s="5"/>
      <c r="D1497" s="11"/>
      <c r="G1497" s="27"/>
      <c r="H1497" s="11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</row>
    <row r="1498" spans="1:32">
      <c r="G1498" s="19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</row>
    <row r="1499" spans="1:32">
      <c r="A1499" s="20"/>
      <c r="B1499" s="5"/>
      <c r="C1499" s="11"/>
      <c r="E1499" s="12"/>
      <c r="F1499" s="18"/>
      <c r="G1499" s="19"/>
      <c r="H1499" s="2"/>
      <c r="I1499" s="2"/>
      <c r="J1499" s="2"/>
      <c r="K1499" s="9"/>
      <c r="AF1499" s="2"/>
    </row>
    <row r="1500" spans="1:32">
      <c r="C1500" s="11"/>
      <c r="E1500" s="12"/>
      <c r="F1500" s="18"/>
      <c r="G1500" s="19"/>
      <c r="H1500" s="2"/>
      <c r="I1500" s="2"/>
      <c r="J1500" s="2"/>
      <c r="K1500" s="9"/>
      <c r="AF1500" s="2"/>
    </row>
    <row r="1501" spans="1:32">
      <c r="A1501" s="11"/>
      <c r="G1501" s="19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</row>
    <row r="1502" spans="1:32">
      <c r="A1502" s="20"/>
      <c r="B1502" s="5"/>
      <c r="G1502" s="2"/>
      <c r="H1502" s="2"/>
      <c r="I1502" s="2"/>
      <c r="J1502" s="10"/>
      <c r="K1502" s="9"/>
      <c r="AF1502" s="2"/>
    </row>
    <row r="1503" spans="1:32">
      <c r="A1503" s="14"/>
      <c r="G1503" s="2"/>
      <c r="H1503" s="2"/>
      <c r="I1503" s="2"/>
      <c r="J1503" s="10"/>
      <c r="K1503" s="9"/>
      <c r="AF1503" s="2"/>
    </row>
    <row r="1504" spans="1:32">
      <c r="A1504" s="11"/>
      <c r="G1504" s="25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  <c r="V1504" s="24"/>
      <c r="W1504" s="24"/>
      <c r="X1504" s="24"/>
      <c r="Y1504" s="24"/>
      <c r="Z1504" s="24"/>
      <c r="AA1504" s="24"/>
      <c r="AB1504" s="24"/>
      <c r="AC1504" s="24"/>
      <c r="AD1504" s="24"/>
      <c r="AE1504" s="24"/>
      <c r="AF1504" s="2"/>
    </row>
    <row r="1505" spans="1:32">
      <c r="A1505" s="20"/>
      <c r="B1505" s="5"/>
      <c r="C1505" s="11"/>
      <c r="E1505" s="27"/>
      <c r="F1505" s="6"/>
      <c r="G1505" s="28"/>
      <c r="I1505" s="29"/>
      <c r="J1505" s="2"/>
      <c r="K1505" s="9"/>
      <c r="AF1505" s="2"/>
    </row>
    <row r="1506" spans="1:32">
      <c r="A1506" s="22"/>
      <c r="G1506" s="19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</row>
    <row r="1507" spans="1:32">
      <c r="A1507" s="20"/>
      <c r="C1507" s="5"/>
      <c r="E1507" s="12"/>
      <c r="F1507" s="6"/>
      <c r="G1507" s="19"/>
      <c r="H1507" s="2"/>
      <c r="I1507" s="2"/>
      <c r="J1507" s="10"/>
      <c r="K1507" s="9"/>
      <c r="AF1507" s="2"/>
    </row>
    <row r="1508" spans="1:32">
      <c r="A1508" s="14"/>
      <c r="C1508" s="5"/>
      <c r="E1508" s="12"/>
      <c r="F1508" s="6"/>
      <c r="G1508" s="19"/>
      <c r="H1508" s="2"/>
      <c r="I1508" s="2"/>
      <c r="K1508" s="9"/>
      <c r="M1508" s="10"/>
      <c r="AF1508" s="2"/>
    </row>
    <row r="1509" spans="1:32">
      <c r="A1509" s="14"/>
      <c r="G1509" s="19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</row>
    <row r="1510" spans="1:32">
      <c r="A1510" s="20"/>
      <c r="B1510" t="s">
        <v>585</v>
      </c>
      <c r="D1510" t="s">
        <v>567</v>
      </c>
      <c r="E1510" s="30"/>
      <c r="F1510" s="6"/>
      <c r="G1510" s="19"/>
      <c r="H1510" t="s">
        <v>565</v>
      </c>
      <c r="I1510" s="2"/>
      <c r="J1510" s="2" t="s">
        <v>584</v>
      </c>
      <c r="K1510" s="9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</row>
    <row r="1511" spans="1:32">
      <c r="A1511" s="14" t="s">
        <v>570</v>
      </c>
      <c r="B1511" t="s">
        <v>569</v>
      </c>
      <c r="C1511" s="5"/>
      <c r="E1511" s="12"/>
      <c r="F1511" s="6"/>
      <c r="G1511" s="19"/>
      <c r="H1511" s="2" t="s">
        <v>576</v>
      </c>
      <c r="I1511" s="2" t="s">
        <v>586</v>
      </c>
      <c r="K1511" s="9"/>
      <c r="M1511" s="10" t="s">
        <v>574</v>
      </c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</row>
    <row r="1512" spans="1:32">
      <c r="A1512" s="14" t="s">
        <v>568</v>
      </c>
      <c r="B1512" s="16" t="s">
        <v>575</v>
      </c>
      <c r="E1512" s="12"/>
      <c r="F1512" s="6"/>
      <c r="G1512" s="32">
        <f>G1496+G1498+G1501+G1504+G1506+G1509</f>
        <v>0</v>
      </c>
      <c r="H1512" s="2"/>
      <c r="I1512" s="2"/>
      <c r="K1512" s="10"/>
      <c r="L1512" s="9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</row>
    <row r="1513" spans="1:32">
      <c r="A1513" s="3"/>
    </row>
  </sheetData>
  <phoneticPr fontId="54" type="noConversion"/>
  <pageMargins left="0.7" right="0.7" top="0.78740157499999996" bottom="0.78740157499999996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688"/>
  <sheetViews>
    <sheetView topLeftCell="D28" zoomScaleNormal="100" workbookViewId="0">
      <selection activeCell="L10" sqref="L10"/>
    </sheetView>
  </sheetViews>
  <sheetFormatPr defaultColWidth="11.42578125" defaultRowHeight="15"/>
  <cols>
    <col min="3" max="3" width="26" customWidth="1"/>
    <col min="4" max="4" width="10.7109375" customWidth="1"/>
    <col min="7" max="7" width="11.85546875" bestFit="1" customWidth="1"/>
  </cols>
  <sheetData>
    <row r="1" spans="1:22" ht="18.75">
      <c r="A1" s="3" t="s">
        <v>747</v>
      </c>
    </row>
    <row r="2" spans="1:22">
      <c r="A2" t="s">
        <v>933</v>
      </c>
    </row>
    <row r="3" spans="1:22" ht="18.75">
      <c r="A3" s="66" t="s">
        <v>932</v>
      </c>
    </row>
    <row r="5" spans="1:22">
      <c r="A5" s="3" t="s">
        <v>657</v>
      </c>
      <c r="C5" s="57"/>
    </row>
    <row r="6" spans="1:22">
      <c r="A6" t="s">
        <v>478</v>
      </c>
      <c r="F6" s="22">
        <f ca="1">Tabelle1!F32</f>
        <v>1367</v>
      </c>
      <c r="G6" t="s">
        <v>479</v>
      </c>
    </row>
    <row r="7" spans="1:22">
      <c r="A7" t="s">
        <v>652</v>
      </c>
      <c r="F7" s="22">
        <f ca="1">Tabelle1!F36</f>
        <v>-5</v>
      </c>
      <c r="G7" t="s">
        <v>497</v>
      </c>
      <c r="H7" t="s">
        <v>529</v>
      </c>
      <c r="J7" t="s">
        <v>482</v>
      </c>
      <c r="Q7" s="14"/>
      <c r="V7" s="2"/>
    </row>
    <row r="8" spans="1:22">
      <c r="A8" t="s">
        <v>653</v>
      </c>
      <c r="F8" s="22">
        <f ca="1">Tabelle1!F37</f>
        <v>-5</v>
      </c>
      <c r="G8" t="s">
        <v>497</v>
      </c>
      <c r="H8" t="s">
        <v>529</v>
      </c>
      <c r="Q8" s="14"/>
      <c r="V8" s="2"/>
    </row>
    <row r="9" spans="1:22">
      <c r="A9" t="s">
        <v>654</v>
      </c>
      <c r="F9" s="22">
        <f ca="1">Tabelle1!F38</f>
        <v>-55</v>
      </c>
      <c r="G9" t="s">
        <v>497</v>
      </c>
      <c r="H9" t="s">
        <v>530</v>
      </c>
      <c r="J9" t="s">
        <v>483</v>
      </c>
      <c r="M9" s="23">
        <v>5.7000000000000001E-8</v>
      </c>
      <c r="Q9" s="14"/>
      <c r="V9" s="2"/>
    </row>
    <row r="10" spans="1:22">
      <c r="A10" t="s">
        <v>655</v>
      </c>
      <c r="F10" s="22">
        <f ca="1">Tabelle1!F39</f>
        <v>0.01</v>
      </c>
      <c r="H10" t="s">
        <v>387</v>
      </c>
      <c r="Q10" s="14"/>
      <c r="V10" s="2"/>
    </row>
    <row r="11" spans="1:22">
      <c r="A11" t="s">
        <v>799</v>
      </c>
      <c r="F11" s="22">
        <f ca="1">Tabelle1!F40</f>
        <v>0.05</v>
      </c>
      <c r="H11" t="s">
        <v>386</v>
      </c>
      <c r="Q11" s="14"/>
      <c r="V11" s="2"/>
    </row>
    <row r="12" spans="1:22">
      <c r="A12" t="s">
        <v>820</v>
      </c>
      <c r="F12" s="22">
        <f ca="1">Tabelle1!F45</f>
        <v>0.49</v>
      </c>
      <c r="H12" s="5" t="s">
        <v>843</v>
      </c>
      <c r="Q12" s="14"/>
      <c r="V12" s="2"/>
    </row>
    <row r="13" spans="1:22">
      <c r="A13" t="s">
        <v>838</v>
      </c>
      <c r="F13" s="22">
        <f ca="1">Tabelle1!F46</f>
        <v>0.01</v>
      </c>
      <c r="H13" t="s">
        <v>819</v>
      </c>
      <c r="Q13" s="14"/>
      <c r="V13" s="2"/>
    </row>
    <row r="14" spans="1:22">
      <c r="A14" t="s">
        <v>840</v>
      </c>
      <c r="F14" s="22">
        <f ca="1">Tabelle1!F42</f>
        <v>0.02</v>
      </c>
      <c r="H14" t="s">
        <v>841</v>
      </c>
      <c r="Q14" s="14"/>
      <c r="V14" s="2"/>
    </row>
    <row r="15" spans="1:22">
      <c r="A15" t="s">
        <v>572</v>
      </c>
      <c r="F15" s="22">
        <f ca="1">Tabelle1!F43</f>
        <v>0.7</v>
      </c>
      <c r="H15" t="s">
        <v>534</v>
      </c>
      <c r="Q15" s="14"/>
      <c r="V15" s="2"/>
    </row>
    <row r="16" spans="1:22">
      <c r="A16" t="s">
        <v>734</v>
      </c>
      <c r="F16" s="22">
        <f ca="1">Tabelle1!F44</f>
        <v>0.5</v>
      </c>
      <c r="H16" t="s">
        <v>718</v>
      </c>
      <c r="Q16" s="14"/>
      <c r="V16" s="2"/>
    </row>
    <row r="17" spans="1:33">
      <c r="A17" t="s">
        <v>571</v>
      </c>
      <c r="F17" s="22">
        <f ca="1">Tabelle1!F47</f>
        <v>0.05</v>
      </c>
      <c r="H17" t="s">
        <v>531</v>
      </c>
      <c r="O17" s="2"/>
      <c r="P17" s="2"/>
      <c r="Q17" s="15"/>
      <c r="T17" s="1"/>
      <c r="V17" s="2"/>
    </row>
    <row r="18" spans="1:33">
      <c r="A18" t="s">
        <v>920</v>
      </c>
      <c r="C18" s="3"/>
      <c r="F18" s="22">
        <f ca="1">Tabelle1!F49</f>
        <v>1.99</v>
      </c>
      <c r="G18" s="6" t="s">
        <v>921</v>
      </c>
      <c r="H18" s="22">
        <f ca="1">Tabelle1!H49</f>
        <v>1.95</v>
      </c>
      <c r="I18" t="s">
        <v>922</v>
      </c>
      <c r="Q18" s="2"/>
      <c r="R18" s="2"/>
      <c r="S18" s="1"/>
      <c r="U18" s="1"/>
      <c r="W18" s="2"/>
    </row>
    <row r="19" spans="1:33">
      <c r="A19" t="s">
        <v>536</v>
      </c>
      <c r="F19" s="17" t="s">
        <v>541</v>
      </c>
      <c r="G19" s="17" t="s">
        <v>542</v>
      </c>
      <c r="H19" s="17" t="s">
        <v>543</v>
      </c>
      <c r="I19" s="17" t="s">
        <v>544</v>
      </c>
      <c r="J19" s="17" t="s">
        <v>545</v>
      </c>
      <c r="K19" s="17" t="s">
        <v>546</v>
      </c>
      <c r="L19" s="17" t="s">
        <v>547</v>
      </c>
      <c r="M19" s="17" t="s">
        <v>548</v>
      </c>
      <c r="N19" s="13" t="s">
        <v>537</v>
      </c>
      <c r="O19" s="17" t="s">
        <v>549</v>
      </c>
      <c r="P19" s="17" t="s">
        <v>550</v>
      </c>
      <c r="Q19" s="17" t="s">
        <v>551</v>
      </c>
      <c r="R19" s="17" t="s">
        <v>552</v>
      </c>
      <c r="S19" s="17" t="s">
        <v>554</v>
      </c>
      <c r="T19" s="17" t="s">
        <v>555</v>
      </c>
      <c r="U19" s="17" t="s">
        <v>553</v>
      </c>
      <c r="V19" s="17" t="s">
        <v>556</v>
      </c>
      <c r="W19" s="17" t="s">
        <v>557</v>
      </c>
    </row>
    <row r="20" spans="1:33">
      <c r="A20" t="s">
        <v>562</v>
      </c>
      <c r="F20" s="22">
        <f ca="1">Tabelle1!F53</f>
        <v>0.1</v>
      </c>
      <c r="G20" s="22">
        <f ca="1">Tabelle1!G53</f>
        <v>0.1</v>
      </c>
      <c r="H20" s="22">
        <f ca="1">Tabelle1!H53</f>
        <v>0.1</v>
      </c>
      <c r="I20" s="22">
        <f ca="1">Tabelle1!I53</f>
        <v>0.1</v>
      </c>
      <c r="J20" s="22">
        <f ca="1">Tabelle1!J53</f>
        <v>0.1</v>
      </c>
      <c r="K20" s="22">
        <f ca="1">Tabelle1!K53</f>
        <v>0.1</v>
      </c>
      <c r="L20" s="22">
        <f ca="1">Tabelle1!L53</f>
        <v>0.1</v>
      </c>
      <c r="M20" s="22">
        <f ca="1">Tabelle1!M53</f>
        <v>0.1</v>
      </c>
      <c r="N20" s="22">
        <f ca="1">Tabelle1!N53</f>
        <v>0.1</v>
      </c>
      <c r="O20" s="22">
        <f ca="1">Tabelle1!O53</f>
        <v>0.1</v>
      </c>
      <c r="P20" s="22">
        <f ca="1">Tabelle1!P53</f>
        <v>0.1</v>
      </c>
      <c r="Q20" s="22">
        <f ca="1">Tabelle1!Q53</f>
        <v>0.1</v>
      </c>
      <c r="R20" s="22">
        <f ca="1">Tabelle1!R53</f>
        <v>0.4</v>
      </c>
      <c r="S20" s="22">
        <f ca="1">Tabelle1!S53</f>
        <v>0.7</v>
      </c>
      <c r="T20" s="22">
        <f ca="1">Tabelle1!T53</f>
        <v>0.7</v>
      </c>
      <c r="U20" s="22">
        <f ca="1">Tabelle1!U53</f>
        <v>0.7</v>
      </c>
      <c r="V20" s="22">
        <f ca="1">Tabelle1!V53</f>
        <v>0.7</v>
      </c>
      <c r="W20" s="22">
        <f ca="1">Tabelle1!W53</f>
        <v>0.7</v>
      </c>
    </row>
    <row r="21" spans="1:33">
      <c r="A21" s="5" t="s">
        <v>538</v>
      </c>
      <c r="F21" s="30">
        <v>0.1</v>
      </c>
      <c r="G21" s="30">
        <v>0.1</v>
      </c>
      <c r="H21" s="30">
        <v>0.1</v>
      </c>
      <c r="I21" s="30">
        <v>0.1</v>
      </c>
      <c r="J21" s="30">
        <v>0.1</v>
      </c>
      <c r="K21" s="30">
        <v>0.1</v>
      </c>
      <c r="L21" s="30">
        <v>0.1</v>
      </c>
      <c r="M21" s="30">
        <v>0.1</v>
      </c>
      <c r="N21" s="30">
        <v>0.1</v>
      </c>
      <c r="O21" s="30">
        <v>0.1</v>
      </c>
      <c r="P21" s="30">
        <v>0.1</v>
      </c>
      <c r="Q21" s="30">
        <v>0.1</v>
      </c>
      <c r="R21" s="30">
        <v>0.4</v>
      </c>
      <c r="S21" s="15">
        <v>0.7</v>
      </c>
      <c r="T21" s="15">
        <v>0.7</v>
      </c>
      <c r="U21" s="15">
        <v>0.7</v>
      </c>
      <c r="V21" s="15">
        <v>0.7</v>
      </c>
      <c r="W21" s="15">
        <v>0.7</v>
      </c>
    </row>
    <row r="22" spans="1:33">
      <c r="A22" t="s">
        <v>540</v>
      </c>
      <c r="F22" s="22">
        <f ca="1">Tabelle1!F55</f>
        <v>20</v>
      </c>
      <c r="G22" s="22">
        <f ca="1">Tabelle1!G55</f>
        <v>20</v>
      </c>
      <c r="H22" s="22">
        <f ca="1">Tabelle1!H55</f>
        <v>20</v>
      </c>
      <c r="I22" s="22">
        <f ca="1">Tabelle1!I55</f>
        <v>20</v>
      </c>
      <c r="J22" s="22">
        <f ca="1">Tabelle1!J55</f>
        <v>20</v>
      </c>
      <c r="K22" s="22">
        <f ca="1">Tabelle1!K55</f>
        <v>20</v>
      </c>
      <c r="L22" s="22">
        <f ca="1">Tabelle1!L55</f>
        <v>15</v>
      </c>
      <c r="M22" s="22">
        <f ca="1">Tabelle1!M55</f>
        <v>15</v>
      </c>
      <c r="N22" s="22">
        <f ca="1">Tabelle1!N55</f>
        <v>15</v>
      </c>
      <c r="O22" s="22">
        <f ca="1">Tabelle1!O55</f>
        <v>10</v>
      </c>
      <c r="P22" s="22">
        <f ca="1">Tabelle1!P55</f>
        <v>10</v>
      </c>
      <c r="Q22" s="22">
        <f ca="1">Tabelle1!Q55</f>
        <v>5</v>
      </c>
      <c r="R22" s="22">
        <f ca="1">Tabelle1!R55</f>
        <v>5</v>
      </c>
      <c r="S22" s="22">
        <f ca="1">Tabelle1!S55</f>
        <v>0</v>
      </c>
      <c r="T22" s="22">
        <f ca="1">Tabelle1!T55</f>
        <v>0</v>
      </c>
      <c r="U22" s="22">
        <f ca="1">Tabelle1!U55</f>
        <v>-5</v>
      </c>
      <c r="V22" s="22">
        <f ca="1">Tabelle1!V55</f>
        <v>-5</v>
      </c>
      <c r="W22" s="22">
        <f ca="1">Tabelle1!W55</f>
        <v>-10</v>
      </c>
      <c r="X22" s="16"/>
    </row>
    <row r="23" spans="1:33">
      <c r="A23" t="s">
        <v>539</v>
      </c>
      <c r="F23">
        <v>20</v>
      </c>
      <c r="G23">
        <v>20</v>
      </c>
      <c r="H23">
        <v>20</v>
      </c>
      <c r="I23">
        <v>20</v>
      </c>
      <c r="J23">
        <v>20</v>
      </c>
      <c r="K23">
        <v>20</v>
      </c>
      <c r="L23">
        <v>15</v>
      </c>
      <c r="M23">
        <v>15</v>
      </c>
      <c r="N23">
        <v>15</v>
      </c>
      <c r="O23">
        <v>10</v>
      </c>
      <c r="P23">
        <v>10</v>
      </c>
      <c r="Q23">
        <v>5</v>
      </c>
      <c r="R23">
        <v>5</v>
      </c>
      <c r="S23">
        <v>0</v>
      </c>
      <c r="T23">
        <v>0</v>
      </c>
      <c r="U23">
        <v>-5</v>
      </c>
      <c r="V23">
        <v>-5</v>
      </c>
      <c r="W23">
        <v>-10</v>
      </c>
      <c r="X23" s="16"/>
    </row>
    <row r="24" spans="1:33">
      <c r="A24" t="s">
        <v>533</v>
      </c>
      <c r="E24" t="s">
        <v>479</v>
      </c>
      <c r="F24" s="49">
        <f t="shared" ref="F24:W24" si="0">$M$9*(F$22+273)^4</f>
        <v>420.09289565699999</v>
      </c>
      <c r="G24" s="49">
        <f t="shared" si="0"/>
        <v>420.09289565699999</v>
      </c>
      <c r="H24" s="49">
        <f t="shared" si="0"/>
        <v>420.09289565699999</v>
      </c>
      <c r="I24" s="49">
        <f t="shared" si="0"/>
        <v>420.09289565699999</v>
      </c>
      <c r="J24" s="49">
        <f t="shared" si="0"/>
        <v>420.09289565699999</v>
      </c>
      <c r="K24" s="49">
        <f t="shared" si="0"/>
        <v>420.09289565699999</v>
      </c>
      <c r="L24" s="49">
        <f t="shared" si="0"/>
        <v>392.143306752</v>
      </c>
      <c r="M24" s="49">
        <f t="shared" si="0"/>
        <v>392.143306752</v>
      </c>
      <c r="N24" s="49">
        <f t="shared" si="0"/>
        <v>392.143306752</v>
      </c>
      <c r="O24" s="49">
        <f t="shared" si="0"/>
        <v>365.61213149700001</v>
      </c>
      <c r="P24" s="49">
        <f t="shared" si="0"/>
        <v>365.61213149700001</v>
      </c>
      <c r="Q24" s="49">
        <f t="shared" si="0"/>
        <v>340.45054939200003</v>
      </c>
      <c r="R24" s="49">
        <f t="shared" si="0"/>
        <v>340.45054939200003</v>
      </c>
      <c r="S24" s="49">
        <f t="shared" si="0"/>
        <v>316.61059493700003</v>
      </c>
      <c r="T24" s="49">
        <f t="shared" si="0"/>
        <v>316.61059493700003</v>
      </c>
      <c r="U24" s="49">
        <f t="shared" si="0"/>
        <v>294.04515763199998</v>
      </c>
      <c r="V24" s="49">
        <f t="shared" si="0"/>
        <v>294.04515763199998</v>
      </c>
      <c r="W24" s="49">
        <f t="shared" si="0"/>
        <v>272.70798197700003</v>
      </c>
      <c r="X24" s="8"/>
    </row>
    <row r="25" spans="1:33">
      <c r="O25" s="2"/>
      <c r="P25" s="2"/>
      <c r="Q25" s="1"/>
      <c r="S25" s="1"/>
      <c r="U25" s="2"/>
    </row>
    <row r="26" spans="1:33">
      <c r="A26" t="s">
        <v>527</v>
      </c>
    </row>
    <row r="27" spans="1:33">
      <c r="B27" s="5" t="s">
        <v>560</v>
      </c>
      <c r="H27" s="22">
        <f ca="1">Tabelle1!H60</f>
        <v>0</v>
      </c>
      <c r="I27" s="22">
        <f ca="1">Tabelle1!I60</f>
        <v>0</v>
      </c>
      <c r="J27" s="22">
        <f ca="1">Tabelle1!J60</f>
        <v>0</v>
      </c>
      <c r="K27" s="22">
        <f ca="1">Tabelle1!K60</f>
        <v>0</v>
      </c>
      <c r="L27" s="22">
        <f ca="1">Tabelle1!L60</f>
        <v>0</v>
      </c>
      <c r="M27" s="22">
        <f ca="1">Tabelle1!M60</f>
        <v>0</v>
      </c>
      <c r="N27" s="22">
        <f ca="1">Tabelle1!N60</f>
        <v>0</v>
      </c>
      <c r="O27" s="22">
        <f ca="1">Tabelle1!O60</f>
        <v>0</v>
      </c>
      <c r="P27" s="22">
        <f ca="1">Tabelle1!P60</f>
        <v>1</v>
      </c>
      <c r="Q27" s="22">
        <f ca="1">Tabelle1!Q60</f>
        <v>1</v>
      </c>
      <c r="R27" s="22">
        <f ca="1">Tabelle1!R60</f>
        <v>1</v>
      </c>
      <c r="S27" s="22">
        <f ca="1">Tabelle1!S60</f>
        <v>1</v>
      </c>
      <c r="T27" s="22">
        <f ca="1">Tabelle1!T60</f>
        <v>1</v>
      </c>
      <c r="U27" s="22">
        <f ca="1">Tabelle1!U60</f>
        <v>1</v>
      </c>
      <c r="V27" s="22">
        <f ca="1">Tabelle1!V60</f>
        <v>1</v>
      </c>
      <c r="W27" s="22">
        <f ca="1">Tabelle1!W60</f>
        <v>1</v>
      </c>
      <c r="X27" s="22">
        <f ca="1">Tabelle1!X60</f>
        <v>1</v>
      </c>
      <c r="Y27" s="22">
        <f ca="1">Tabelle1!Y60</f>
        <v>1</v>
      </c>
      <c r="Z27" s="22">
        <f ca="1">Tabelle1!Z60</f>
        <v>1</v>
      </c>
      <c r="AA27" s="22">
        <f ca="1">Tabelle1!AA60</f>
        <v>1</v>
      </c>
      <c r="AB27" s="22">
        <f ca="1">Tabelle1!AB60</f>
        <v>0</v>
      </c>
      <c r="AC27" s="22">
        <f ca="1">Tabelle1!AC60</f>
        <v>0</v>
      </c>
      <c r="AD27" s="22">
        <f ca="1">Tabelle1!AD60</f>
        <v>0</v>
      </c>
      <c r="AE27" s="22">
        <f ca="1">Tabelle1!AE60</f>
        <v>0</v>
      </c>
    </row>
    <row r="28" spans="1:33">
      <c r="B28" s="5" t="s">
        <v>564</v>
      </c>
      <c r="H28" s="22">
        <f ca="1">Tabelle1!H62</f>
        <v>1</v>
      </c>
      <c r="I28" s="22">
        <f ca="1">Tabelle1!I62</f>
        <v>1</v>
      </c>
      <c r="J28" s="22">
        <f ca="1">Tabelle1!J62</f>
        <v>1</v>
      </c>
      <c r="K28" s="22">
        <f ca="1">Tabelle1!K62</f>
        <v>1</v>
      </c>
      <c r="L28" s="22">
        <f ca="1">Tabelle1!L62</f>
        <v>1</v>
      </c>
      <c r="M28" s="22">
        <f ca="1">Tabelle1!M62</f>
        <v>1</v>
      </c>
      <c r="N28" s="22">
        <f ca="1">Tabelle1!N62</f>
        <v>1</v>
      </c>
      <c r="O28" s="22">
        <f ca="1">Tabelle1!O62</f>
        <v>1</v>
      </c>
      <c r="P28" s="22">
        <f ca="1">Tabelle1!P62</f>
        <v>5.0000000000000044E-2</v>
      </c>
      <c r="Q28" s="22">
        <f ca="1">Tabelle1!Q62</f>
        <v>5.0000000000000044E-2</v>
      </c>
      <c r="R28" s="22">
        <f ca="1">Tabelle1!R62</f>
        <v>5.0000000000000044E-2</v>
      </c>
      <c r="S28" s="22">
        <f ca="1">Tabelle1!S62</f>
        <v>5.0000000000000044E-2</v>
      </c>
      <c r="T28" s="22">
        <f ca="1">Tabelle1!T62</f>
        <v>5.0000000000000044E-2</v>
      </c>
      <c r="U28" s="22">
        <f ca="1">Tabelle1!U62</f>
        <v>5.0000000000000044E-2</v>
      </c>
      <c r="V28" s="22">
        <f ca="1">Tabelle1!V62</f>
        <v>5.0000000000000044E-2</v>
      </c>
      <c r="W28" s="22">
        <f ca="1">Tabelle1!W62</f>
        <v>5.0000000000000044E-2</v>
      </c>
      <c r="X28" s="22">
        <f ca="1">Tabelle1!X62</f>
        <v>5.0000000000000044E-2</v>
      </c>
      <c r="Y28" s="22">
        <f ca="1">Tabelle1!Y62</f>
        <v>5.0000000000000044E-2</v>
      </c>
      <c r="Z28" s="22">
        <f ca="1">Tabelle1!Z62</f>
        <v>5.0000000000000044E-2</v>
      </c>
      <c r="AA28" s="22">
        <f ca="1">Tabelle1!AA62</f>
        <v>5.0000000000000044E-2</v>
      </c>
      <c r="AB28" s="22">
        <f ca="1">Tabelle1!AB62</f>
        <v>1</v>
      </c>
      <c r="AC28" s="22">
        <f ca="1">Tabelle1!AC62</f>
        <v>1</v>
      </c>
      <c r="AD28" s="22">
        <f ca="1">Tabelle1!AD62</f>
        <v>1</v>
      </c>
      <c r="AE28" s="22">
        <f ca="1">Tabelle1!AE62</f>
        <v>1</v>
      </c>
    </row>
    <row r="29" spans="1:33">
      <c r="B29" s="5" t="s">
        <v>532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  <c r="Q29" s="5">
        <v>1</v>
      </c>
      <c r="R29" s="5">
        <v>1</v>
      </c>
      <c r="S29" s="5">
        <v>1</v>
      </c>
      <c r="T29" s="5">
        <v>1</v>
      </c>
      <c r="U29" s="5">
        <v>1</v>
      </c>
      <c r="V29" s="5">
        <v>1</v>
      </c>
      <c r="W29" s="5">
        <v>1</v>
      </c>
      <c r="X29" s="5">
        <v>1</v>
      </c>
      <c r="Y29" s="5">
        <v>1</v>
      </c>
      <c r="Z29" s="5">
        <v>1</v>
      </c>
      <c r="AA29" s="5">
        <v>1</v>
      </c>
      <c r="AB29" s="5">
        <v>0</v>
      </c>
      <c r="AC29" s="5">
        <v>0</v>
      </c>
      <c r="AD29" s="5">
        <v>0</v>
      </c>
      <c r="AE29" s="5">
        <v>0</v>
      </c>
    </row>
    <row r="30" spans="1:33">
      <c r="B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2" spans="1:33">
      <c r="A32" t="s">
        <v>480</v>
      </c>
      <c r="H32" s="4" t="s">
        <v>484</v>
      </c>
      <c r="I32" s="4" t="s">
        <v>486</v>
      </c>
      <c r="J32" s="4" t="s">
        <v>485</v>
      </c>
      <c r="K32" s="4" t="s">
        <v>487</v>
      </c>
      <c r="L32" s="4" t="s">
        <v>488</v>
      </c>
      <c r="M32" s="4" t="s">
        <v>489</v>
      </c>
      <c r="N32" s="4" t="s">
        <v>490</v>
      </c>
      <c r="O32" s="4" t="s">
        <v>491</v>
      </c>
      <c r="P32" s="4" t="s">
        <v>494</v>
      </c>
      <c r="Q32" s="4" t="s">
        <v>492</v>
      </c>
      <c r="R32" s="4" t="s">
        <v>495</v>
      </c>
      <c r="S32" s="4" t="s">
        <v>493</v>
      </c>
      <c r="T32" s="4" t="s">
        <v>515</v>
      </c>
      <c r="U32" s="4" t="s">
        <v>517</v>
      </c>
      <c r="V32" s="4" t="s">
        <v>518</v>
      </c>
      <c r="W32" s="4" t="s">
        <v>516</v>
      </c>
      <c r="X32" s="4" t="s">
        <v>519</v>
      </c>
      <c r="Y32" s="4" t="s">
        <v>520</v>
      </c>
      <c r="Z32" s="4" t="s">
        <v>521</v>
      </c>
      <c r="AA32" s="4" t="s">
        <v>522</v>
      </c>
      <c r="AB32" s="4" t="s">
        <v>523</v>
      </c>
      <c r="AC32" s="4" t="s">
        <v>524</v>
      </c>
      <c r="AD32" s="4" t="s">
        <v>525</v>
      </c>
      <c r="AE32" s="4" t="s">
        <v>526</v>
      </c>
      <c r="AF32" s="1"/>
      <c r="AG32" s="1"/>
    </row>
    <row r="33" spans="1:33">
      <c r="A33" t="s">
        <v>613</v>
      </c>
      <c r="Q33" s="4"/>
      <c r="R33" s="4"/>
      <c r="S33" s="4"/>
      <c r="T33" s="1"/>
      <c r="U33" s="4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>
      <c r="A34" t="s">
        <v>528</v>
      </c>
      <c r="H34" s="1">
        <v>3.87</v>
      </c>
      <c r="I34" s="1">
        <v>11.37</v>
      </c>
      <c r="J34" s="1">
        <v>18.87</v>
      </c>
      <c r="K34" s="1">
        <v>26.37</v>
      </c>
      <c r="L34" s="1">
        <v>33.869999999999997</v>
      </c>
      <c r="M34" s="1">
        <v>41.37</v>
      </c>
      <c r="N34" s="1">
        <v>48.88</v>
      </c>
      <c r="O34" s="1">
        <v>56.38</v>
      </c>
      <c r="P34" s="1">
        <v>63.88</v>
      </c>
      <c r="Q34" s="1">
        <v>71.38</v>
      </c>
      <c r="R34" s="4">
        <v>78.88</v>
      </c>
      <c r="S34" s="1">
        <v>86.39</v>
      </c>
      <c r="T34" s="1">
        <v>86.39</v>
      </c>
      <c r="U34" s="4">
        <v>78.88</v>
      </c>
      <c r="V34" s="1">
        <v>71.38</v>
      </c>
      <c r="W34" s="1">
        <v>63.88</v>
      </c>
      <c r="X34" s="1">
        <v>56.38</v>
      </c>
      <c r="Y34" s="1">
        <v>48.88</v>
      </c>
      <c r="Z34" s="1">
        <v>41.37</v>
      </c>
      <c r="AA34" s="1">
        <v>33.869999999999997</v>
      </c>
      <c r="AB34" s="1">
        <v>26.37</v>
      </c>
      <c r="AC34" s="1">
        <v>18.87</v>
      </c>
      <c r="AD34" s="1">
        <v>11.37</v>
      </c>
      <c r="AE34" s="1">
        <v>3.87</v>
      </c>
      <c r="AF34" s="1"/>
      <c r="AG34" s="1"/>
    </row>
    <row r="35" spans="1:33">
      <c r="A35" t="s">
        <v>506</v>
      </c>
      <c r="H35" s="1">
        <v>3.84</v>
      </c>
      <c r="I35" s="1">
        <v>11.32</v>
      </c>
      <c r="J35" s="1">
        <v>18.79</v>
      </c>
      <c r="K35" s="1">
        <v>26.26</v>
      </c>
      <c r="L35" s="1">
        <v>33.72</v>
      </c>
      <c r="M35" s="1">
        <v>41.18</v>
      </c>
      <c r="N35" s="1">
        <v>48.62</v>
      </c>
      <c r="O35" s="1">
        <v>56.05</v>
      </c>
      <c r="P35" s="1">
        <v>63.44</v>
      </c>
      <c r="Q35" s="1">
        <v>70.75</v>
      </c>
      <c r="R35" s="4">
        <v>77.83</v>
      </c>
      <c r="S35" s="1">
        <v>83.85</v>
      </c>
      <c r="T35" s="1">
        <v>83.85</v>
      </c>
      <c r="U35" s="4">
        <v>77.83</v>
      </c>
      <c r="V35" s="1">
        <v>70.75</v>
      </c>
      <c r="W35" s="1">
        <v>63.44</v>
      </c>
      <c r="X35" s="1">
        <v>56.05</v>
      </c>
      <c r="Y35" s="1">
        <v>48.62</v>
      </c>
      <c r="Z35" s="1">
        <v>41.18</v>
      </c>
      <c r="AA35" s="1">
        <v>33.72</v>
      </c>
      <c r="AB35" s="1">
        <v>26.26</v>
      </c>
      <c r="AC35" s="1">
        <v>18.79</v>
      </c>
      <c r="AD35" s="1">
        <v>11.32</v>
      </c>
      <c r="AE35" s="1">
        <v>3.84</v>
      </c>
      <c r="AF35" s="1"/>
      <c r="AG35" s="1"/>
    </row>
    <row r="36" spans="1:33">
      <c r="A36" t="s">
        <v>505</v>
      </c>
      <c r="H36" s="1">
        <v>3.79</v>
      </c>
      <c r="I36" s="1">
        <v>11.18</v>
      </c>
      <c r="J36" s="1">
        <v>18.559999999999999</v>
      </c>
      <c r="K36" s="1">
        <v>25.93</v>
      </c>
      <c r="L36" s="1">
        <v>33.28</v>
      </c>
      <c r="M36" s="1">
        <v>40.61</v>
      </c>
      <c r="N36" s="1">
        <v>47.88</v>
      </c>
      <c r="O36" s="1">
        <v>55.09</v>
      </c>
      <c r="P36" s="1">
        <v>62.16</v>
      </c>
      <c r="Q36" s="1">
        <v>68.95</v>
      </c>
      <c r="R36" s="4">
        <v>75.099999999999994</v>
      </c>
      <c r="S36" s="1">
        <v>79.39</v>
      </c>
      <c r="T36" s="1">
        <v>79.39</v>
      </c>
      <c r="U36" s="4">
        <v>75.099999999999994</v>
      </c>
      <c r="V36" s="1">
        <v>68.95</v>
      </c>
      <c r="W36" s="1">
        <v>62.16</v>
      </c>
      <c r="X36" s="1">
        <v>55.09</v>
      </c>
      <c r="Y36" s="1">
        <v>47.88</v>
      </c>
      <c r="Z36" s="1">
        <v>40.61</v>
      </c>
      <c r="AA36" s="1">
        <v>33.28</v>
      </c>
      <c r="AB36" s="1">
        <v>25.93</v>
      </c>
      <c r="AC36" s="1">
        <v>18.559999999999999</v>
      </c>
      <c r="AD36" s="1">
        <v>11.18</v>
      </c>
      <c r="AE36" s="1">
        <v>3.79</v>
      </c>
      <c r="AF36" s="1"/>
      <c r="AG36" s="1"/>
    </row>
    <row r="37" spans="1:33">
      <c r="A37" t="s">
        <v>504</v>
      </c>
      <c r="H37" s="1">
        <v>3.72</v>
      </c>
      <c r="I37" s="1">
        <v>10.96</v>
      </c>
      <c r="J37" s="1">
        <v>18.190000000000001</v>
      </c>
      <c r="K37" s="1">
        <v>25.39</v>
      </c>
      <c r="L37" s="1">
        <v>32.56</v>
      </c>
      <c r="M37" s="1">
        <v>39.67</v>
      </c>
      <c r="N37" s="1">
        <v>46.68</v>
      </c>
      <c r="O37" s="1">
        <v>53.54</v>
      </c>
      <c r="P37" s="1">
        <v>60.14</v>
      </c>
      <c r="Q37" s="1">
        <v>66.260000000000005</v>
      </c>
      <c r="R37" s="4">
        <v>71.42</v>
      </c>
      <c r="S37" s="1">
        <v>74.599999999999994</v>
      </c>
      <c r="T37" s="1">
        <v>74.599999999999994</v>
      </c>
      <c r="U37" s="4">
        <v>71.42</v>
      </c>
      <c r="V37" s="1">
        <v>66.260000000000005</v>
      </c>
      <c r="W37" s="1">
        <v>60.14</v>
      </c>
      <c r="X37" s="1">
        <v>53.54</v>
      </c>
      <c r="Y37" s="1">
        <v>46.68</v>
      </c>
      <c r="Z37" s="1">
        <v>39.67</v>
      </c>
      <c r="AA37" s="1">
        <v>32.56</v>
      </c>
      <c r="AB37" s="1">
        <v>25.39</v>
      </c>
      <c r="AC37" s="1">
        <v>18.190000000000001</v>
      </c>
      <c r="AD37" s="1">
        <v>10.96</v>
      </c>
      <c r="AE37" s="1">
        <v>3.72</v>
      </c>
      <c r="AF37" s="1"/>
      <c r="AG37" s="1"/>
    </row>
    <row r="38" spans="1:33">
      <c r="A38" t="s">
        <v>503</v>
      </c>
      <c r="H38">
        <v>3.61</v>
      </c>
      <c r="I38">
        <v>10.65</v>
      </c>
      <c r="J38">
        <v>17.670000000000002</v>
      </c>
      <c r="K38">
        <v>24.65</v>
      </c>
      <c r="L38">
        <v>31.57</v>
      </c>
      <c r="M38">
        <v>38.39</v>
      </c>
      <c r="N38">
        <v>45.05</v>
      </c>
      <c r="O38">
        <v>51.48</v>
      </c>
      <c r="P38">
        <v>57.53</v>
      </c>
      <c r="Q38">
        <v>62.94</v>
      </c>
      <c r="R38">
        <v>67.239999999999995</v>
      </c>
      <c r="S38">
        <v>69.709999999999994</v>
      </c>
      <c r="T38">
        <v>69.709999999999994</v>
      </c>
      <c r="U38">
        <v>67.239999999999995</v>
      </c>
      <c r="V38">
        <v>62.94</v>
      </c>
      <c r="W38">
        <v>57.53</v>
      </c>
      <c r="X38">
        <v>51.48</v>
      </c>
      <c r="Y38">
        <v>45.05</v>
      </c>
      <c r="Z38">
        <v>38.39</v>
      </c>
      <c r="AA38">
        <v>31.57</v>
      </c>
      <c r="AB38">
        <v>24.65</v>
      </c>
      <c r="AC38">
        <v>17.670000000000002</v>
      </c>
      <c r="AD38">
        <v>10.65</v>
      </c>
      <c r="AE38">
        <v>3.61</v>
      </c>
    </row>
    <row r="39" spans="1:33">
      <c r="A39" t="s">
        <v>502</v>
      </c>
      <c r="H39">
        <v>3.47</v>
      </c>
      <c r="I39">
        <v>10.26</v>
      </c>
      <c r="J39">
        <v>17.02</v>
      </c>
      <c r="K39">
        <v>23.72</v>
      </c>
      <c r="L39">
        <v>30.32</v>
      </c>
      <c r="M39">
        <v>36.79</v>
      </c>
      <c r="N39">
        <v>43.04</v>
      </c>
      <c r="O39">
        <v>48.99</v>
      </c>
      <c r="P39">
        <v>54.46</v>
      </c>
      <c r="Q39">
        <v>59.19</v>
      </c>
      <c r="R39">
        <v>62.8</v>
      </c>
      <c r="S39">
        <v>64.78</v>
      </c>
      <c r="T39">
        <v>64.78</v>
      </c>
      <c r="U39">
        <v>62.8</v>
      </c>
      <c r="V39">
        <v>59.19</v>
      </c>
      <c r="W39">
        <v>54.46</v>
      </c>
      <c r="X39">
        <v>48.99</v>
      </c>
      <c r="Y39">
        <v>43.04</v>
      </c>
      <c r="Z39">
        <v>36.79</v>
      </c>
      <c r="AA39">
        <v>30.32</v>
      </c>
      <c r="AB39">
        <v>23.72</v>
      </c>
      <c r="AC39">
        <v>17.02</v>
      </c>
      <c r="AD39">
        <v>10.26</v>
      </c>
      <c r="AE39">
        <v>3.47</v>
      </c>
    </row>
    <row r="40" spans="1:33">
      <c r="A40" t="s">
        <v>498</v>
      </c>
      <c r="H40" s="2">
        <v>3.31</v>
      </c>
      <c r="I40" s="2">
        <v>9.8000000000000007</v>
      </c>
      <c r="J40" s="2">
        <v>16.239999999999998</v>
      </c>
      <c r="K40" s="2">
        <v>22.6</v>
      </c>
      <c r="L40" s="2">
        <v>28.84</v>
      </c>
      <c r="M40" s="2">
        <v>34.9</v>
      </c>
      <c r="N40" s="2">
        <v>40.71</v>
      </c>
      <c r="O40" s="2">
        <v>46.14</v>
      </c>
      <c r="P40" s="2">
        <v>51.04</v>
      </c>
      <c r="Q40" s="2">
        <v>55.16</v>
      </c>
      <c r="R40" s="2">
        <v>58.2</v>
      </c>
      <c r="S40" s="2">
        <v>59.82</v>
      </c>
      <c r="T40" s="2">
        <v>59.82</v>
      </c>
      <c r="U40" s="2">
        <v>58.2</v>
      </c>
      <c r="V40" s="2">
        <v>55.16</v>
      </c>
      <c r="W40" s="2">
        <v>51.04</v>
      </c>
      <c r="X40" s="2">
        <v>46.14</v>
      </c>
      <c r="Y40" s="2">
        <v>40.71</v>
      </c>
      <c r="Z40" s="2">
        <v>34.9</v>
      </c>
      <c r="AA40" s="2">
        <v>28.84</v>
      </c>
      <c r="AB40" s="2">
        <v>22.6</v>
      </c>
      <c r="AC40" s="2">
        <v>16.239999999999998</v>
      </c>
      <c r="AD40" s="2">
        <v>9.8000000000000007</v>
      </c>
      <c r="AE40" s="2">
        <v>3.31</v>
      </c>
      <c r="AF40" s="2"/>
    </row>
    <row r="41" spans="1:33">
      <c r="A41" t="s">
        <v>499</v>
      </c>
      <c r="H41" s="2">
        <v>3.13</v>
      </c>
      <c r="I41" s="2">
        <v>9.26</v>
      </c>
      <c r="J41" s="2">
        <v>15.33</v>
      </c>
      <c r="K41" s="2">
        <v>21.31</v>
      </c>
      <c r="L41" s="2">
        <v>27.14</v>
      </c>
      <c r="M41" s="2">
        <v>32.76</v>
      </c>
      <c r="N41" s="2">
        <v>38.090000000000003</v>
      </c>
      <c r="O41" s="2">
        <v>43</v>
      </c>
      <c r="P41" s="2">
        <v>47.35</v>
      </c>
      <c r="Q41" s="2">
        <v>50.93</v>
      </c>
      <c r="R41" s="2">
        <v>53.31</v>
      </c>
      <c r="S41" s="2">
        <v>54.86</v>
      </c>
      <c r="T41" s="2">
        <v>54.86</v>
      </c>
      <c r="U41" s="2">
        <v>53.31</v>
      </c>
      <c r="V41" s="2">
        <v>50.93</v>
      </c>
      <c r="W41" s="2">
        <v>47.35</v>
      </c>
      <c r="X41" s="2">
        <v>43</v>
      </c>
      <c r="Y41" s="2">
        <v>38.090000000000003</v>
      </c>
      <c r="Z41" s="2">
        <v>32.76</v>
      </c>
      <c r="AA41" s="2">
        <v>27.14</v>
      </c>
      <c r="AB41" s="2">
        <v>21.31</v>
      </c>
      <c r="AC41" s="2">
        <v>15.33</v>
      </c>
      <c r="AD41" s="2">
        <v>9.26</v>
      </c>
      <c r="AE41" s="2">
        <v>3.13</v>
      </c>
      <c r="AF41" s="2"/>
    </row>
    <row r="42" spans="1:33">
      <c r="A42" t="s">
        <v>500</v>
      </c>
      <c r="H42" s="2">
        <v>2.92</v>
      </c>
      <c r="I42" s="2">
        <v>8.64</v>
      </c>
      <c r="J42" s="2">
        <v>14.31</v>
      </c>
      <c r="K42" s="2">
        <v>19.86</v>
      </c>
      <c r="L42" s="2">
        <v>25.25</v>
      </c>
      <c r="M42" s="2">
        <v>30.04</v>
      </c>
      <c r="N42" s="2">
        <v>35.229999999999997</v>
      </c>
      <c r="O42" s="2">
        <v>39.630000000000003</v>
      </c>
      <c r="P42" s="2">
        <v>43.45</v>
      </c>
      <c r="Q42" s="2">
        <v>46.55</v>
      </c>
      <c r="R42" s="2">
        <v>48.75</v>
      </c>
      <c r="S42" s="2">
        <v>49.89</v>
      </c>
      <c r="T42" s="2">
        <v>49.89</v>
      </c>
      <c r="U42" s="2">
        <v>48.75</v>
      </c>
      <c r="V42" s="2">
        <v>46.55</v>
      </c>
      <c r="W42" s="2">
        <v>43.45</v>
      </c>
      <c r="X42" s="2">
        <v>39.630000000000003</v>
      </c>
      <c r="Y42" s="2">
        <v>35.229999999999997</v>
      </c>
      <c r="Z42" s="2">
        <v>30.04</v>
      </c>
      <c r="AA42" s="2">
        <v>25.25</v>
      </c>
      <c r="AB42" s="2">
        <v>19.86</v>
      </c>
      <c r="AC42" s="2">
        <v>14.31</v>
      </c>
      <c r="AD42" s="2">
        <v>8.64</v>
      </c>
      <c r="AE42" s="2">
        <v>2.92</v>
      </c>
      <c r="AF42" s="2"/>
    </row>
    <row r="43" spans="1:33">
      <c r="A43" t="s">
        <v>501</v>
      </c>
      <c r="H43" s="2">
        <v>2.68</v>
      </c>
      <c r="I43" s="2">
        <v>7.97</v>
      </c>
      <c r="J43" s="2">
        <v>13.18</v>
      </c>
      <c r="K43" s="2">
        <v>18.27</v>
      </c>
      <c r="L43" s="2">
        <v>23.18</v>
      </c>
      <c r="M43" s="2">
        <v>27.84</v>
      </c>
      <c r="N43" s="2">
        <v>32.17</v>
      </c>
      <c r="O43" s="2">
        <v>36.06</v>
      </c>
      <c r="P43" s="2">
        <v>39.409999999999997</v>
      </c>
      <c r="Q43" s="2">
        <v>42.68</v>
      </c>
      <c r="R43" s="2">
        <v>43.95</v>
      </c>
      <c r="S43" s="2">
        <v>44.91</v>
      </c>
      <c r="T43" s="2">
        <v>44.91</v>
      </c>
      <c r="U43" s="2">
        <v>43.95</v>
      </c>
      <c r="V43" s="2">
        <v>42.68</v>
      </c>
      <c r="W43" s="2">
        <v>39.409999999999997</v>
      </c>
      <c r="X43" s="2">
        <v>36.06</v>
      </c>
      <c r="Y43" s="2">
        <v>32.17</v>
      </c>
      <c r="Z43" s="2">
        <v>27.84</v>
      </c>
      <c r="AA43" s="2">
        <v>23.18</v>
      </c>
      <c r="AB43" s="2">
        <v>18.27</v>
      </c>
      <c r="AC43" s="2">
        <v>13.18</v>
      </c>
      <c r="AD43" s="2">
        <v>7.97</v>
      </c>
      <c r="AE43" s="2">
        <v>2.68</v>
      </c>
      <c r="AF43" s="2"/>
    </row>
    <row r="44" spans="1:33">
      <c r="A44" t="s">
        <v>507</v>
      </c>
      <c r="H44" s="2">
        <v>2.4300000000000002</v>
      </c>
      <c r="I44" s="2">
        <v>7.23</v>
      </c>
      <c r="J44" s="2">
        <v>11.96</v>
      </c>
      <c r="K44" s="2">
        <v>16.55</v>
      </c>
      <c r="L44" s="2">
        <v>20.96</v>
      </c>
      <c r="M44" s="2">
        <v>25.12</v>
      </c>
      <c r="N44" s="2">
        <v>28.94</v>
      </c>
      <c r="O44" s="2">
        <v>32.35</v>
      </c>
      <c r="P44" s="2">
        <v>35.25</v>
      </c>
      <c r="Q44" s="2">
        <v>37.53</v>
      </c>
      <c r="R44" s="2">
        <v>39.119999999999997</v>
      </c>
      <c r="S44" s="2">
        <v>39.93</v>
      </c>
      <c r="T44" s="2">
        <v>39.93</v>
      </c>
      <c r="U44" s="2">
        <v>39.119999999999997</v>
      </c>
      <c r="V44" s="2">
        <v>37.53</v>
      </c>
      <c r="W44" s="2">
        <v>35.25</v>
      </c>
      <c r="X44" s="2">
        <v>32.35</v>
      </c>
      <c r="Y44" s="2">
        <v>28.94</v>
      </c>
      <c r="Z44" s="2">
        <v>25.12</v>
      </c>
      <c r="AA44" s="2">
        <v>20.96</v>
      </c>
      <c r="AB44" s="2">
        <v>16.55</v>
      </c>
      <c r="AC44" s="2">
        <v>11.96</v>
      </c>
      <c r="AD44" s="2">
        <v>7.23</v>
      </c>
      <c r="AE44" s="2">
        <v>2.4300000000000002</v>
      </c>
      <c r="AF44" s="2"/>
    </row>
    <row r="45" spans="1:33">
      <c r="A45" t="s">
        <v>508</v>
      </c>
      <c r="H45" s="2">
        <v>2.16</v>
      </c>
      <c r="I45" s="2">
        <v>6.44</v>
      </c>
      <c r="J45" s="2">
        <v>10.65</v>
      </c>
      <c r="K45" s="2">
        <v>14.72</v>
      </c>
      <c r="L45" s="2">
        <v>18.61</v>
      </c>
      <c r="M45" s="2">
        <v>22.25</v>
      </c>
      <c r="N45" s="2">
        <v>25.58</v>
      </c>
      <c r="O45" s="2">
        <v>28.52</v>
      </c>
      <c r="P45" s="2">
        <v>30.99</v>
      </c>
      <c r="Q45" s="2">
        <v>32.93</v>
      </c>
      <c r="R45" s="2">
        <v>34.26</v>
      </c>
      <c r="S45" s="2">
        <v>34.94</v>
      </c>
      <c r="T45" s="2">
        <v>34.94</v>
      </c>
      <c r="U45" s="2">
        <v>34.26</v>
      </c>
      <c r="V45" s="2">
        <v>32.93</v>
      </c>
      <c r="W45" s="2">
        <v>30.99</v>
      </c>
      <c r="X45" s="2">
        <v>28.52</v>
      </c>
      <c r="Y45" s="2">
        <v>25.58</v>
      </c>
      <c r="Z45" s="2">
        <v>22.25</v>
      </c>
      <c r="AA45" s="2">
        <v>18.61</v>
      </c>
      <c r="AB45" s="2">
        <v>14.72</v>
      </c>
      <c r="AC45" s="2">
        <v>10.65</v>
      </c>
      <c r="AD45" s="2">
        <v>6.44</v>
      </c>
      <c r="AE45" s="2">
        <v>2.16</v>
      </c>
      <c r="AF45" s="2"/>
    </row>
    <row r="46" spans="1:33">
      <c r="A46" t="s">
        <v>509</v>
      </c>
      <c r="H46" s="2">
        <v>1.87</v>
      </c>
      <c r="I46" s="2">
        <v>5.6</v>
      </c>
      <c r="J46" s="2">
        <v>9.26</v>
      </c>
      <c r="K46" s="2">
        <v>12.79</v>
      </c>
      <c r="L46" s="2">
        <v>16.149999999999999</v>
      </c>
      <c r="M46" s="2">
        <v>19.27</v>
      </c>
      <c r="N46" s="2">
        <v>22.11</v>
      </c>
      <c r="O46" s="2">
        <v>24.59</v>
      </c>
      <c r="P46" s="2">
        <v>26.67</v>
      </c>
      <c r="Q46" s="2">
        <v>28.29</v>
      </c>
      <c r="R46" s="2">
        <v>29.39</v>
      </c>
      <c r="S46" s="2">
        <v>29.96</v>
      </c>
      <c r="T46" s="2">
        <v>29.96</v>
      </c>
      <c r="U46" s="2">
        <v>29.39</v>
      </c>
      <c r="V46" s="2">
        <v>28.29</v>
      </c>
      <c r="W46" s="2">
        <v>26.67</v>
      </c>
      <c r="X46" s="2">
        <v>24.59</v>
      </c>
      <c r="Y46" s="2">
        <v>22.11</v>
      </c>
      <c r="Z46" s="2">
        <v>19.27</v>
      </c>
      <c r="AA46" s="2">
        <v>16.149999999999999</v>
      </c>
      <c r="AB46" s="2">
        <v>12.79</v>
      </c>
      <c r="AC46" s="2">
        <v>9.26</v>
      </c>
      <c r="AD46" s="2">
        <v>5.6</v>
      </c>
      <c r="AE46" s="2">
        <v>1.87</v>
      </c>
      <c r="AF46" s="2"/>
    </row>
    <row r="47" spans="1:33">
      <c r="A47" t="s">
        <v>510</v>
      </c>
      <c r="H47" s="2">
        <v>1.57</v>
      </c>
      <c r="I47" s="2">
        <v>4.72</v>
      </c>
      <c r="J47" s="2">
        <v>7.81</v>
      </c>
      <c r="K47" s="2">
        <v>10.78</v>
      </c>
      <c r="L47" s="2">
        <v>13.59</v>
      </c>
      <c r="M47" s="2">
        <v>16.190000000000001</v>
      </c>
      <c r="N47" s="2">
        <v>18.54</v>
      </c>
      <c r="O47" s="2">
        <v>20.59</v>
      </c>
      <c r="P47" s="2">
        <v>22.3</v>
      </c>
      <c r="Q47" s="2">
        <v>23.61</v>
      </c>
      <c r="R47" s="2">
        <v>24.51</v>
      </c>
      <c r="S47" s="2">
        <v>24.97</v>
      </c>
      <c r="T47" s="2">
        <v>24.97</v>
      </c>
      <c r="U47" s="2">
        <v>24.51</v>
      </c>
      <c r="V47" s="2">
        <v>23.61</v>
      </c>
      <c r="W47" s="2">
        <v>22.3</v>
      </c>
      <c r="X47" s="2">
        <v>20.59</v>
      </c>
      <c r="Y47" s="2">
        <v>18.54</v>
      </c>
      <c r="Z47" s="2">
        <v>16.190000000000001</v>
      </c>
      <c r="AA47" s="2">
        <v>13.59</v>
      </c>
      <c r="AB47" s="2">
        <v>10.78</v>
      </c>
      <c r="AC47" s="2">
        <v>7.81</v>
      </c>
      <c r="AD47" s="2">
        <v>4.72</v>
      </c>
      <c r="AE47" s="2">
        <v>1.57</v>
      </c>
      <c r="AF47" s="2"/>
    </row>
    <row r="48" spans="1:33">
      <c r="A48" t="s">
        <v>511</v>
      </c>
      <c r="H48" s="2">
        <v>1.26</v>
      </c>
      <c r="I48" s="2">
        <v>3.81</v>
      </c>
      <c r="J48" s="2">
        <v>6.3</v>
      </c>
      <c r="K48" s="2">
        <v>8.6999999999999993</v>
      </c>
      <c r="L48" s="2">
        <v>10.96</v>
      </c>
      <c r="M48" s="2">
        <v>13.04</v>
      </c>
      <c r="N48" s="2">
        <v>14.91</v>
      </c>
      <c r="O48" s="2">
        <v>16.54</v>
      </c>
      <c r="P48" s="2">
        <v>17.88</v>
      </c>
      <c r="Q48" s="2">
        <v>18.920000000000002</v>
      </c>
      <c r="R48" s="2">
        <v>19.62</v>
      </c>
      <c r="S48" s="2">
        <v>19.98</v>
      </c>
      <c r="T48" s="2">
        <v>19.98</v>
      </c>
      <c r="U48" s="2">
        <v>19.62</v>
      </c>
      <c r="V48" s="2">
        <v>18.920000000000002</v>
      </c>
      <c r="W48" s="2">
        <v>17.88</v>
      </c>
      <c r="X48" s="2">
        <v>16.54</v>
      </c>
      <c r="Y48" s="2">
        <v>14.91</v>
      </c>
      <c r="Z48" s="2">
        <v>13.04</v>
      </c>
      <c r="AA48" s="2">
        <v>10.96</v>
      </c>
      <c r="AB48" s="2">
        <v>8.6999999999999993</v>
      </c>
      <c r="AC48" s="2">
        <v>6.3</v>
      </c>
      <c r="AD48" s="2">
        <v>3.81</v>
      </c>
      <c r="AE48" s="2">
        <v>1.26</v>
      </c>
      <c r="AF48" s="2"/>
    </row>
    <row r="49" spans="1:32">
      <c r="A49" t="s">
        <v>512</v>
      </c>
      <c r="H49" s="2">
        <v>0.93</v>
      </c>
      <c r="I49" s="2">
        <v>2.87</v>
      </c>
      <c r="J49" s="2">
        <v>4.75</v>
      </c>
      <c r="K49" s="2">
        <v>6.56</v>
      </c>
      <c r="L49" s="2">
        <v>8.26</v>
      </c>
      <c r="M49" s="2">
        <v>9.82</v>
      </c>
      <c r="N49" s="2">
        <v>11.22</v>
      </c>
      <c r="O49" s="2">
        <v>12.43</v>
      </c>
      <c r="P49" s="2">
        <v>13.43</v>
      </c>
      <c r="Q49" s="2">
        <v>14.2</v>
      </c>
      <c r="R49" s="2">
        <v>14.73</v>
      </c>
      <c r="S49" s="2">
        <v>14.99</v>
      </c>
      <c r="T49" s="2">
        <v>14.99</v>
      </c>
      <c r="U49" s="2">
        <v>14.73</v>
      </c>
      <c r="V49" s="2">
        <v>14.2</v>
      </c>
      <c r="W49" s="2">
        <v>13.43</v>
      </c>
      <c r="X49" s="2">
        <v>12.43</v>
      </c>
      <c r="Y49" s="2">
        <v>11.22</v>
      </c>
      <c r="Z49" s="2">
        <v>9.82</v>
      </c>
      <c r="AA49" s="2">
        <v>8.26</v>
      </c>
      <c r="AB49" s="2">
        <v>6.56</v>
      </c>
      <c r="AC49" s="2">
        <v>4.75</v>
      </c>
      <c r="AD49" s="2">
        <v>2.87</v>
      </c>
      <c r="AE49" s="2">
        <v>0.93</v>
      </c>
      <c r="AF49" s="2"/>
    </row>
    <row r="50" spans="1:32">
      <c r="A50" t="s">
        <v>513</v>
      </c>
      <c r="H50" s="2">
        <v>0.6</v>
      </c>
      <c r="I50" s="2">
        <v>1.9</v>
      </c>
      <c r="J50" s="2">
        <v>3.17</v>
      </c>
      <c r="K50" s="2">
        <v>4.38</v>
      </c>
      <c r="L50" s="2">
        <v>5.52</v>
      </c>
      <c r="M50" s="2">
        <v>6.56</v>
      </c>
      <c r="N50" s="2">
        <v>7.5</v>
      </c>
      <c r="O50" s="2">
        <v>8.3000000000000007</v>
      </c>
      <c r="P50" s="2">
        <v>8.9700000000000006</v>
      </c>
      <c r="Q50" s="2">
        <v>9.48</v>
      </c>
      <c r="R50" s="2">
        <v>9.82</v>
      </c>
      <c r="S50" s="2">
        <v>10</v>
      </c>
      <c r="T50" s="2">
        <v>10</v>
      </c>
      <c r="U50" s="2">
        <v>9.82</v>
      </c>
      <c r="V50" s="2">
        <v>9.48</v>
      </c>
      <c r="W50" s="2">
        <v>8.9700000000000006</v>
      </c>
      <c r="X50" s="2">
        <v>8.3000000000000007</v>
      </c>
      <c r="Y50" s="2">
        <v>7.5</v>
      </c>
      <c r="Z50" s="2">
        <v>6.56</v>
      </c>
      <c r="AA50" s="2">
        <v>5.52</v>
      </c>
      <c r="AB50" s="2">
        <v>4.38</v>
      </c>
      <c r="AC50" s="2">
        <v>3.17</v>
      </c>
      <c r="AD50" s="2">
        <v>1.9</v>
      </c>
      <c r="AE50" s="2">
        <v>0.6</v>
      </c>
      <c r="AF50" s="2"/>
    </row>
    <row r="51" spans="1:32">
      <c r="A51" t="s">
        <v>514</v>
      </c>
      <c r="H51" s="2">
        <v>0.27</v>
      </c>
      <c r="I51" s="2">
        <v>0.92</v>
      </c>
      <c r="J51" s="2">
        <v>1.56</v>
      </c>
      <c r="K51" s="2">
        <v>2.1800000000000002</v>
      </c>
      <c r="L51" s="2">
        <v>2.75</v>
      </c>
      <c r="M51" s="2">
        <v>3.28</v>
      </c>
      <c r="N51" s="2">
        <v>3.75</v>
      </c>
      <c r="O51" s="2">
        <v>4.1500000000000004</v>
      </c>
      <c r="P51" s="2">
        <v>4.49</v>
      </c>
      <c r="Q51" s="2">
        <v>4.74</v>
      </c>
      <c r="R51" s="2">
        <v>4.92</v>
      </c>
      <c r="S51" s="2">
        <v>5.01</v>
      </c>
      <c r="T51" s="2">
        <v>5.01</v>
      </c>
      <c r="U51" s="2">
        <v>4.92</v>
      </c>
      <c r="V51" s="2">
        <v>4.74</v>
      </c>
      <c r="W51" s="2">
        <v>4.49</v>
      </c>
      <c r="X51" s="2">
        <v>4.1500000000000004</v>
      </c>
      <c r="Y51" s="2">
        <v>3.75</v>
      </c>
      <c r="Z51" s="2">
        <v>3.28</v>
      </c>
      <c r="AA51" s="2">
        <v>2.75</v>
      </c>
      <c r="AB51" s="2">
        <v>2.1800000000000002</v>
      </c>
      <c r="AC51" s="2">
        <v>1.56</v>
      </c>
      <c r="AD51" s="2">
        <v>0.92</v>
      </c>
      <c r="AE51" s="2">
        <v>0.27</v>
      </c>
      <c r="AF51" s="2"/>
    </row>
    <row r="52" spans="1:32"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>
      <c r="A53" t="s">
        <v>481</v>
      </c>
      <c r="D53" s="34" t="s">
        <v>275</v>
      </c>
      <c r="G53" t="s">
        <v>496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>
      <c r="A54" t="s">
        <v>528</v>
      </c>
      <c r="G54" s="2">
        <f>SUM(H54:AE54)/48</f>
        <v>436.3742268768064</v>
      </c>
      <c r="H54" s="2">
        <f t="shared" ref="H54:AE54" si="1">$F$6*SIN(PI()/180*H34)</f>
        <v>92.262787600191558</v>
      </c>
      <c r="I54" s="2">
        <f t="shared" si="1"/>
        <v>269.49590886068825</v>
      </c>
      <c r="J54" s="2">
        <f t="shared" si="1"/>
        <v>442.1178804021967</v>
      </c>
      <c r="K54" s="2">
        <f t="shared" si="1"/>
        <v>607.17509243178938</v>
      </c>
      <c r="L54" s="2">
        <f t="shared" si="1"/>
        <v>761.84337028913512</v>
      </c>
      <c r="M54" s="2">
        <f t="shared" si="1"/>
        <v>903.47629685794664</v>
      </c>
      <c r="N54" s="2">
        <f t="shared" si="1"/>
        <v>1029.8074127944778</v>
      </c>
      <c r="O54" s="2">
        <f t="shared" si="1"/>
        <v>1138.3392031729784</v>
      </c>
      <c r="P54" s="2">
        <f t="shared" si="1"/>
        <v>1227.393694177937</v>
      </c>
      <c r="Q54" s="2">
        <f t="shared" si="1"/>
        <v>1295.4471387776891</v>
      </c>
      <c r="R54" s="2">
        <f t="shared" si="1"/>
        <v>1341.3351236671535</v>
      </c>
      <c r="S54" s="2">
        <f t="shared" si="1"/>
        <v>1364.2875360111705</v>
      </c>
      <c r="T54" s="2">
        <f t="shared" si="1"/>
        <v>1364.2875360111705</v>
      </c>
      <c r="U54" s="2">
        <f t="shared" si="1"/>
        <v>1341.3351236671535</v>
      </c>
      <c r="V54" s="2">
        <f t="shared" si="1"/>
        <v>1295.4471387776891</v>
      </c>
      <c r="W54" s="2">
        <f t="shared" si="1"/>
        <v>1227.393694177937</v>
      </c>
      <c r="X54" s="2">
        <f t="shared" si="1"/>
        <v>1138.3392031729784</v>
      </c>
      <c r="Y54" s="2">
        <f t="shared" si="1"/>
        <v>1029.8074127944778</v>
      </c>
      <c r="Z54" s="2">
        <f t="shared" si="1"/>
        <v>903.47629685794664</v>
      </c>
      <c r="AA54" s="2">
        <f t="shared" si="1"/>
        <v>761.84337028913512</v>
      </c>
      <c r="AB54" s="2">
        <f t="shared" si="1"/>
        <v>607.17509243178938</v>
      </c>
      <c r="AC54" s="2">
        <f t="shared" si="1"/>
        <v>442.1178804021967</v>
      </c>
      <c r="AD54" s="2">
        <f t="shared" si="1"/>
        <v>269.49590886068825</v>
      </c>
      <c r="AE54" s="2">
        <f t="shared" si="1"/>
        <v>92.262787600191558</v>
      </c>
      <c r="AF54" s="2"/>
    </row>
    <row r="55" spans="1:32">
      <c r="A55" t="s">
        <v>506</v>
      </c>
      <c r="G55" s="2">
        <f t="shared" ref="G55:G71" si="2">SUM(H55:AE55)/48</f>
        <v>434.6809476228679</v>
      </c>
      <c r="H55" s="2">
        <f t="shared" ref="H55:AE55" si="3">$F$6*SIN(PI()/180*H35)</f>
        <v>91.548647566622336</v>
      </c>
      <c r="I55" s="2">
        <f t="shared" si="3"/>
        <v>268.32628570677241</v>
      </c>
      <c r="J55" s="2">
        <f t="shared" si="3"/>
        <v>440.31134092951044</v>
      </c>
      <c r="K55" s="2">
        <f t="shared" si="3"/>
        <v>604.82261205576549</v>
      </c>
      <c r="L55" s="2">
        <f t="shared" si="3"/>
        <v>758.86927216345123</v>
      </c>
      <c r="M55" s="2">
        <f t="shared" si="3"/>
        <v>900.06940503980093</v>
      </c>
      <c r="N55" s="2">
        <f t="shared" si="3"/>
        <v>1025.7173298856603</v>
      </c>
      <c r="O55" s="2">
        <f t="shared" si="3"/>
        <v>1133.9610094843733</v>
      </c>
      <c r="P55" s="2">
        <f t="shared" si="3"/>
        <v>1222.7358609655744</v>
      </c>
      <c r="Q55" s="2">
        <f t="shared" si="3"/>
        <v>1290.569690876936</v>
      </c>
      <c r="R55" s="2">
        <f t="shared" si="3"/>
        <v>1336.2786020649062</v>
      </c>
      <c r="S55" s="2">
        <f t="shared" si="3"/>
        <v>1359.132686209455</v>
      </c>
      <c r="T55" s="2">
        <f t="shared" si="3"/>
        <v>1359.132686209455</v>
      </c>
      <c r="U55" s="2">
        <f t="shared" si="3"/>
        <v>1336.2786020649062</v>
      </c>
      <c r="V55" s="2">
        <f t="shared" si="3"/>
        <v>1290.569690876936</v>
      </c>
      <c r="W55" s="2">
        <f t="shared" si="3"/>
        <v>1222.7358609655744</v>
      </c>
      <c r="X55" s="2">
        <f t="shared" si="3"/>
        <v>1133.9610094843733</v>
      </c>
      <c r="Y55" s="2">
        <f t="shared" si="3"/>
        <v>1025.7173298856603</v>
      </c>
      <c r="Z55" s="2">
        <f t="shared" si="3"/>
        <v>900.06940503980093</v>
      </c>
      <c r="AA55" s="2">
        <f t="shared" si="3"/>
        <v>758.86927216345123</v>
      </c>
      <c r="AB55" s="2">
        <f t="shared" si="3"/>
        <v>604.82261205576549</v>
      </c>
      <c r="AC55" s="2">
        <f t="shared" si="3"/>
        <v>440.31134092951044</v>
      </c>
      <c r="AD55" s="2">
        <f t="shared" si="3"/>
        <v>268.32628570677241</v>
      </c>
      <c r="AE55" s="2">
        <f t="shared" si="3"/>
        <v>91.548647566622336</v>
      </c>
      <c r="AF55" s="2"/>
    </row>
    <row r="56" spans="1:32">
      <c r="A56" t="s">
        <v>505</v>
      </c>
      <c r="G56" s="2">
        <f t="shared" si="2"/>
        <v>429.68200797979694</v>
      </c>
      <c r="H56" s="2">
        <f t="shared" ref="H56:AE56" si="4">$F$6*SIN(PI()/180*H36)</f>
        <v>90.358358499403366</v>
      </c>
      <c r="I56" s="2">
        <f t="shared" si="4"/>
        <v>265.05025661939874</v>
      </c>
      <c r="J56" s="2">
        <f t="shared" si="4"/>
        <v>435.1127706049673</v>
      </c>
      <c r="K56" s="2">
        <f t="shared" si="4"/>
        <v>597.75182986864343</v>
      </c>
      <c r="L56" s="2">
        <f t="shared" si="4"/>
        <v>750.11532176693765</v>
      </c>
      <c r="M56" s="2">
        <f t="shared" si="4"/>
        <v>889.7894933423978</v>
      </c>
      <c r="N56" s="2">
        <f t="shared" si="4"/>
        <v>1013.9610033338565</v>
      </c>
      <c r="O56" s="2">
        <f t="shared" si="4"/>
        <v>1121.0110909576451</v>
      </c>
      <c r="P56" s="2">
        <f t="shared" si="4"/>
        <v>1208.7768042340908</v>
      </c>
      <c r="Q56" s="2">
        <f t="shared" si="4"/>
        <v>1275.7764483436906</v>
      </c>
      <c r="R56" s="2">
        <f t="shared" si="4"/>
        <v>1321.0361004322572</v>
      </c>
      <c r="S56" s="2">
        <f t="shared" si="4"/>
        <v>1343.6287135118371</v>
      </c>
      <c r="T56" s="2">
        <f t="shared" si="4"/>
        <v>1343.6287135118371</v>
      </c>
      <c r="U56" s="2">
        <f t="shared" si="4"/>
        <v>1321.0361004322572</v>
      </c>
      <c r="V56" s="2">
        <f t="shared" si="4"/>
        <v>1275.7764483436906</v>
      </c>
      <c r="W56" s="2">
        <f t="shared" si="4"/>
        <v>1208.7768042340908</v>
      </c>
      <c r="X56" s="2">
        <f t="shared" si="4"/>
        <v>1121.0110909576451</v>
      </c>
      <c r="Y56" s="2">
        <f t="shared" si="4"/>
        <v>1013.9610033338565</v>
      </c>
      <c r="Z56" s="2">
        <f t="shared" si="4"/>
        <v>889.7894933423978</v>
      </c>
      <c r="AA56" s="2">
        <f t="shared" si="4"/>
        <v>750.11532176693765</v>
      </c>
      <c r="AB56" s="2">
        <f t="shared" si="4"/>
        <v>597.75182986864343</v>
      </c>
      <c r="AC56" s="2">
        <f t="shared" si="4"/>
        <v>435.1127706049673</v>
      </c>
      <c r="AD56" s="2">
        <f t="shared" si="4"/>
        <v>265.05025661939874</v>
      </c>
      <c r="AE56" s="2">
        <f t="shared" si="4"/>
        <v>90.358358499403366</v>
      </c>
      <c r="AF56" s="2"/>
    </row>
    <row r="57" spans="1:32">
      <c r="A57" t="s">
        <v>504</v>
      </c>
      <c r="G57" s="2">
        <f t="shared" si="2"/>
        <v>421.42929130792351</v>
      </c>
      <c r="H57" s="2">
        <f t="shared" ref="H57:AE57" si="5">$F$6*SIN(PI()/180*H37)</f>
        <v>88.691838404494348</v>
      </c>
      <c r="I57" s="2">
        <f t="shared" si="5"/>
        <v>259.89902118134938</v>
      </c>
      <c r="J57" s="2">
        <f t="shared" si="5"/>
        <v>426.73517658919093</v>
      </c>
      <c r="K57" s="2">
        <f t="shared" si="5"/>
        <v>586.13879481875483</v>
      </c>
      <c r="L57" s="2">
        <f t="shared" si="5"/>
        <v>735.69549258444465</v>
      </c>
      <c r="M57" s="2">
        <f t="shared" si="5"/>
        <v>872.64478181220943</v>
      </c>
      <c r="N57" s="2">
        <f t="shared" si="5"/>
        <v>994.53804510046939</v>
      </c>
      <c r="O57" s="2">
        <f t="shared" si="5"/>
        <v>1099.4397273971701</v>
      </c>
      <c r="P57" s="2">
        <f t="shared" si="5"/>
        <v>1185.523296765286</v>
      </c>
      <c r="Q57" s="2">
        <f t="shared" si="5"/>
        <v>1251.3268628251049</v>
      </c>
      <c r="R57" s="2">
        <f t="shared" si="5"/>
        <v>1295.7515363236594</v>
      </c>
      <c r="S57" s="2">
        <f t="shared" si="5"/>
        <v>1317.9184175880284</v>
      </c>
      <c r="T57" s="2">
        <f t="shared" si="5"/>
        <v>1317.9184175880284</v>
      </c>
      <c r="U57" s="2">
        <f t="shared" si="5"/>
        <v>1295.7515363236594</v>
      </c>
      <c r="V57" s="2">
        <f t="shared" si="5"/>
        <v>1251.3268628251049</v>
      </c>
      <c r="W57" s="2">
        <f t="shared" si="5"/>
        <v>1185.523296765286</v>
      </c>
      <c r="X57" s="2">
        <f t="shared" si="5"/>
        <v>1099.4397273971701</v>
      </c>
      <c r="Y57" s="2">
        <f t="shared" si="5"/>
        <v>994.53804510046939</v>
      </c>
      <c r="Z57" s="2">
        <f t="shared" si="5"/>
        <v>872.64478181220943</v>
      </c>
      <c r="AA57" s="2">
        <f t="shared" si="5"/>
        <v>735.69549258444465</v>
      </c>
      <c r="AB57" s="2">
        <f t="shared" si="5"/>
        <v>586.13879481875483</v>
      </c>
      <c r="AC57" s="2">
        <f t="shared" si="5"/>
        <v>426.73517658919093</v>
      </c>
      <c r="AD57" s="2">
        <f t="shared" si="5"/>
        <v>259.89902118134938</v>
      </c>
      <c r="AE57" s="2">
        <f t="shared" si="5"/>
        <v>88.691838404494348</v>
      </c>
      <c r="AF57" s="2"/>
    </row>
    <row r="58" spans="1:32">
      <c r="A58" t="s">
        <v>503</v>
      </c>
      <c r="G58" s="2">
        <f t="shared" si="2"/>
        <v>409.94812195072342</v>
      </c>
      <c r="H58" s="2">
        <f t="shared" ref="H58:AE58" si="6">$F$6*SIN(PI()/180*H38)</f>
        <v>86.07275460079866</v>
      </c>
      <c r="I58" s="2">
        <f t="shared" si="6"/>
        <v>252.63397595571755</v>
      </c>
      <c r="J58" s="2">
        <f t="shared" si="6"/>
        <v>414.93126081445291</v>
      </c>
      <c r="K58" s="2">
        <f t="shared" si="6"/>
        <v>570.14028354633399</v>
      </c>
      <c r="L58" s="2">
        <f t="shared" si="6"/>
        <v>715.67900363477395</v>
      </c>
      <c r="M58" s="2">
        <f t="shared" si="6"/>
        <v>848.92202402281805</v>
      </c>
      <c r="N58" s="2">
        <f t="shared" si="6"/>
        <v>967.45813240644736</v>
      </c>
      <c r="O58" s="2">
        <f t="shared" si="6"/>
        <v>1069.5282380581959</v>
      </c>
      <c r="P58" s="2">
        <f t="shared" si="6"/>
        <v>1153.3005256825184</v>
      </c>
      <c r="Q58" s="2">
        <f t="shared" si="6"/>
        <v>1217.3553547878407</v>
      </c>
      <c r="R58" s="2">
        <f t="shared" si="6"/>
        <v>1260.5564450549664</v>
      </c>
      <c r="S58" s="2">
        <f t="shared" si="6"/>
        <v>1282.1769282525017</v>
      </c>
      <c r="T58" s="2">
        <f t="shared" si="6"/>
        <v>1282.1769282525017</v>
      </c>
      <c r="U58" s="2">
        <f t="shared" si="6"/>
        <v>1260.5564450549664</v>
      </c>
      <c r="V58" s="2">
        <f t="shared" si="6"/>
        <v>1217.3553547878407</v>
      </c>
      <c r="W58" s="2">
        <f t="shared" si="6"/>
        <v>1153.3005256825184</v>
      </c>
      <c r="X58" s="2">
        <f t="shared" si="6"/>
        <v>1069.5282380581959</v>
      </c>
      <c r="Y58" s="2">
        <f t="shared" si="6"/>
        <v>967.45813240644736</v>
      </c>
      <c r="Z58" s="2">
        <f t="shared" si="6"/>
        <v>848.92202402281805</v>
      </c>
      <c r="AA58" s="2">
        <f t="shared" si="6"/>
        <v>715.67900363477395</v>
      </c>
      <c r="AB58" s="2">
        <f t="shared" si="6"/>
        <v>570.14028354633399</v>
      </c>
      <c r="AC58" s="2">
        <f t="shared" si="6"/>
        <v>414.93126081445291</v>
      </c>
      <c r="AD58" s="2">
        <f t="shared" si="6"/>
        <v>252.63397595571755</v>
      </c>
      <c r="AE58" s="2">
        <f t="shared" si="6"/>
        <v>86.07275460079866</v>
      </c>
      <c r="AF58" s="2"/>
    </row>
    <row r="59" spans="1:32">
      <c r="A59" t="s">
        <v>502</v>
      </c>
      <c r="G59" s="2">
        <f t="shared" si="2"/>
        <v>395.35382369385655</v>
      </c>
      <c r="H59" s="2">
        <f t="shared" ref="H59:AE59" si="7">$F$6*SIN(PI()/180*H39)</f>
        <v>82.738917646743218</v>
      </c>
      <c r="I59" s="2">
        <f t="shared" si="7"/>
        <v>243.4836017911752</v>
      </c>
      <c r="J59" s="2">
        <f t="shared" si="7"/>
        <v>400.12841882334436</v>
      </c>
      <c r="K59" s="2">
        <f t="shared" si="7"/>
        <v>549.89950668731956</v>
      </c>
      <c r="L59" s="2">
        <f t="shared" si="7"/>
        <v>690.10120878866746</v>
      </c>
      <c r="M59" s="2">
        <f t="shared" si="7"/>
        <v>818.67420299750529</v>
      </c>
      <c r="N59" s="2">
        <f t="shared" si="7"/>
        <v>932.98949546021606</v>
      </c>
      <c r="O59" s="2">
        <f t="shared" si="7"/>
        <v>1031.5314536185581</v>
      </c>
      <c r="P59" s="2">
        <f t="shared" si="7"/>
        <v>1112.3414508688418</v>
      </c>
      <c r="Q59" s="2">
        <f t="shared" si="7"/>
        <v>1174.0759947013189</v>
      </c>
      <c r="R59" s="2">
        <f t="shared" si="7"/>
        <v>1215.8321822892037</v>
      </c>
      <c r="S59" s="2">
        <f t="shared" si="7"/>
        <v>1236.6953349796615</v>
      </c>
      <c r="T59" s="2">
        <f t="shared" si="7"/>
        <v>1236.6953349796615</v>
      </c>
      <c r="U59" s="2">
        <f t="shared" si="7"/>
        <v>1215.8321822892037</v>
      </c>
      <c r="V59" s="2">
        <f t="shared" si="7"/>
        <v>1174.0759947013189</v>
      </c>
      <c r="W59" s="2">
        <f t="shared" si="7"/>
        <v>1112.3414508688418</v>
      </c>
      <c r="X59" s="2">
        <f t="shared" si="7"/>
        <v>1031.5314536185581</v>
      </c>
      <c r="Y59" s="2">
        <f t="shared" si="7"/>
        <v>932.98949546021606</v>
      </c>
      <c r="Z59" s="2">
        <f t="shared" si="7"/>
        <v>818.67420299750529</v>
      </c>
      <c r="AA59" s="2">
        <f t="shared" si="7"/>
        <v>690.10120878866746</v>
      </c>
      <c r="AB59" s="2">
        <f t="shared" si="7"/>
        <v>549.89950668731956</v>
      </c>
      <c r="AC59" s="2">
        <f t="shared" si="7"/>
        <v>400.12841882334436</v>
      </c>
      <c r="AD59" s="2">
        <f t="shared" si="7"/>
        <v>243.4836017911752</v>
      </c>
      <c r="AE59" s="2">
        <f t="shared" si="7"/>
        <v>82.738917646743218</v>
      </c>
      <c r="AF59" s="2"/>
    </row>
    <row r="60" spans="1:32">
      <c r="A60" t="s">
        <v>498</v>
      </c>
      <c r="G60" s="2">
        <f t="shared" si="2"/>
        <v>377.76818359051123</v>
      </c>
      <c r="H60" s="2">
        <f t="shared" ref="H60:AE60" si="8">$F$6*SIN(PI()/180*H40)</f>
        <v>78.928214542564277</v>
      </c>
      <c r="I60" s="2">
        <f t="shared" si="8"/>
        <v>232.6763853599665</v>
      </c>
      <c r="J60" s="2">
        <f t="shared" si="8"/>
        <v>382.29720141233923</v>
      </c>
      <c r="K60" s="2">
        <f t="shared" si="8"/>
        <v>525.33170607595173</v>
      </c>
      <c r="L60" s="2">
        <f t="shared" si="8"/>
        <v>659.39341174823937</v>
      </c>
      <c r="M60" s="2">
        <f t="shared" si="8"/>
        <v>782.12340900002062</v>
      </c>
      <c r="N60" s="2">
        <f t="shared" si="8"/>
        <v>891.59938508258233</v>
      </c>
      <c r="O60" s="2">
        <f t="shared" si="8"/>
        <v>985.6548748618261</v>
      </c>
      <c r="P60" s="2">
        <f t="shared" si="8"/>
        <v>1062.9588597925087</v>
      </c>
      <c r="Q60" s="2">
        <f t="shared" si="8"/>
        <v>1121.9660371504767</v>
      </c>
      <c r="R60" s="2">
        <f t="shared" si="8"/>
        <v>1161.803311313043</v>
      </c>
      <c r="S60" s="2">
        <f t="shared" si="8"/>
        <v>1181.7036098327524</v>
      </c>
      <c r="T60" s="2">
        <f t="shared" si="8"/>
        <v>1181.7036098327524</v>
      </c>
      <c r="U60" s="2">
        <f t="shared" si="8"/>
        <v>1161.803311313043</v>
      </c>
      <c r="V60" s="2">
        <f t="shared" si="8"/>
        <v>1121.9660371504767</v>
      </c>
      <c r="W60" s="2">
        <f t="shared" si="8"/>
        <v>1062.9588597925087</v>
      </c>
      <c r="X60" s="2">
        <f t="shared" si="8"/>
        <v>985.6548748618261</v>
      </c>
      <c r="Y60" s="2">
        <f t="shared" si="8"/>
        <v>891.59938508258233</v>
      </c>
      <c r="Z60" s="2">
        <f t="shared" si="8"/>
        <v>782.12340900002062</v>
      </c>
      <c r="AA60" s="2">
        <f t="shared" si="8"/>
        <v>659.39341174823937</v>
      </c>
      <c r="AB60" s="2">
        <f t="shared" si="8"/>
        <v>525.33170607595173</v>
      </c>
      <c r="AC60" s="2">
        <f t="shared" si="8"/>
        <v>382.29720141233923</v>
      </c>
      <c r="AD60" s="2">
        <f t="shared" si="8"/>
        <v>232.6763853599665</v>
      </c>
      <c r="AE60" s="2">
        <f t="shared" si="8"/>
        <v>78.928214542564277</v>
      </c>
      <c r="AF60" s="2"/>
    </row>
    <row r="61" spans="1:32">
      <c r="A61" t="s">
        <v>499</v>
      </c>
      <c r="G61" s="2">
        <f t="shared" si="2"/>
        <v>357.18590415453394</v>
      </c>
      <c r="H61" s="2">
        <f t="shared" ref="H61:AE61" si="9">$F$6*SIN(PI()/180*H41)</f>
        <v>74.640439318039498</v>
      </c>
      <c r="I61" s="2">
        <f t="shared" si="9"/>
        <v>219.97056784972216</v>
      </c>
      <c r="J61" s="2">
        <f t="shared" si="9"/>
        <v>361.40480098603098</v>
      </c>
      <c r="K61" s="2">
        <f t="shared" si="9"/>
        <v>496.78671344954438</v>
      </c>
      <c r="L61" s="2">
        <f t="shared" si="9"/>
        <v>623.57930742409121</v>
      </c>
      <c r="M61" s="2">
        <f t="shared" si="9"/>
        <v>739.71275165743918</v>
      </c>
      <c r="N61" s="2">
        <f t="shared" si="9"/>
        <v>843.30027639179809</v>
      </c>
      <c r="O61" s="2">
        <f t="shared" si="9"/>
        <v>932.29175820543537</v>
      </c>
      <c r="P61" s="2">
        <f t="shared" si="9"/>
        <v>1005.4368676732921</v>
      </c>
      <c r="Q61" s="2">
        <f t="shared" si="9"/>
        <v>1061.3067052367144</v>
      </c>
      <c r="R61" s="2">
        <f t="shared" si="9"/>
        <v>1096.1698742843942</v>
      </c>
      <c r="S61" s="2">
        <f t="shared" si="9"/>
        <v>1117.8616372323115</v>
      </c>
      <c r="T61" s="2">
        <f t="shared" si="9"/>
        <v>1117.8616372323115</v>
      </c>
      <c r="U61" s="2">
        <f t="shared" si="9"/>
        <v>1096.1698742843942</v>
      </c>
      <c r="V61" s="2">
        <f t="shared" si="9"/>
        <v>1061.3067052367144</v>
      </c>
      <c r="W61" s="2">
        <f t="shared" si="9"/>
        <v>1005.4368676732921</v>
      </c>
      <c r="X61" s="2">
        <f t="shared" si="9"/>
        <v>932.29175820543537</v>
      </c>
      <c r="Y61" s="2">
        <f t="shared" si="9"/>
        <v>843.30027639179809</v>
      </c>
      <c r="Z61" s="2">
        <f t="shared" si="9"/>
        <v>739.71275165743918</v>
      </c>
      <c r="AA61" s="2">
        <f t="shared" si="9"/>
        <v>623.57930742409121</v>
      </c>
      <c r="AB61" s="2">
        <f t="shared" si="9"/>
        <v>496.78671344954438</v>
      </c>
      <c r="AC61" s="2">
        <f t="shared" si="9"/>
        <v>361.40480098603098</v>
      </c>
      <c r="AD61" s="2">
        <f t="shared" si="9"/>
        <v>219.97056784972216</v>
      </c>
      <c r="AE61" s="2">
        <f t="shared" si="9"/>
        <v>74.640439318039498</v>
      </c>
      <c r="AF61" s="2"/>
    </row>
    <row r="62" spans="1:32">
      <c r="A62" t="s">
        <v>500</v>
      </c>
      <c r="G62" s="2">
        <f t="shared" si="2"/>
        <v>333.79086082419087</v>
      </c>
      <c r="H62" s="2">
        <f t="shared" ref="H62:AE62" si="10">$F$6*SIN(PI()/180*H42)</f>
        <v>69.637106790986095</v>
      </c>
      <c r="I62" s="2">
        <f t="shared" si="10"/>
        <v>205.3583803280749</v>
      </c>
      <c r="J62" s="2">
        <f t="shared" si="10"/>
        <v>337.8788393284259</v>
      </c>
      <c r="K62" s="2">
        <f t="shared" si="10"/>
        <v>464.40137157786984</v>
      </c>
      <c r="L62" s="2">
        <f t="shared" si="10"/>
        <v>583.11946744529348</v>
      </c>
      <c r="M62" s="2">
        <f t="shared" si="10"/>
        <v>684.32632127836769</v>
      </c>
      <c r="N62" s="2">
        <f t="shared" si="10"/>
        <v>788.56774740768572</v>
      </c>
      <c r="O62" s="2">
        <f t="shared" si="10"/>
        <v>871.90997671092214</v>
      </c>
      <c r="P62" s="2">
        <f t="shared" si="10"/>
        <v>940.1150240907474</v>
      </c>
      <c r="Q62" s="2">
        <f t="shared" si="10"/>
        <v>992.40754807631993</v>
      </c>
      <c r="R62" s="2">
        <f t="shared" si="10"/>
        <v>1027.7650168237622</v>
      </c>
      <c r="S62" s="2">
        <f t="shared" si="10"/>
        <v>1045.4938599221268</v>
      </c>
      <c r="T62" s="2">
        <f t="shared" si="10"/>
        <v>1045.4938599221268</v>
      </c>
      <c r="U62" s="2">
        <f t="shared" si="10"/>
        <v>1027.7650168237622</v>
      </c>
      <c r="V62" s="2">
        <f t="shared" si="10"/>
        <v>992.40754807631993</v>
      </c>
      <c r="W62" s="2">
        <f t="shared" si="10"/>
        <v>940.1150240907474</v>
      </c>
      <c r="X62" s="2">
        <f t="shared" si="10"/>
        <v>871.90997671092214</v>
      </c>
      <c r="Y62" s="2">
        <f t="shared" si="10"/>
        <v>788.56774740768572</v>
      </c>
      <c r="Z62" s="2">
        <f t="shared" si="10"/>
        <v>684.32632127836769</v>
      </c>
      <c r="AA62" s="2">
        <f t="shared" si="10"/>
        <v>583.11946744529348</v>
      </c>
      <c r="AB62" s="2">
        <f t="shared" si="10"/>
        <v>464.40137157786984</v>
      </c>
      <c r="AC62" s="2">
        <f t="shared" si="10"/>
        <v>337.8788393284259</v>
      </c>
      <c r="AD62" s="2">
        <f t="shared" si="10"/>
        <v>205.3583803280749</v>
      </c>
      <c r="AE62" s="2">
        <f t="shared" si="10"/>
        <v>69.637106790986095</v>
      </c>
      <c r="AF62" s="2"/>
    </row>
    <row r="63" spans="1:32">
      <c r="A63" t="s">
        <v>501</v>
      </c>
      <c r="G63" s="2">
        <f t="shared" si="2"/>
        <v>308.79408317756833</v>
      </c>
      <c r="H63" s="2">
        <f t="shared" ref="H63:AE63" si="11">$F$6*SIN(PI()/180*H43)</f>
        <v>63.917870910841707</v>
      </c>
      <c r="I63" s="2">
        <f t="shared" si="11"/>
        <v>189.5408091620528</v>
      </c>
      <c r="J63" s="2">
        <f t="shared" si="11"/>
        <v>311.69105485023806</v>
      </c>
      <c r="K63" s="2">
        <f t="shared" si="11"/>
        <v>428.54806817081112</v>
      </c>
      <c r="L63" s="2">
        <f t="shared" si="11"/>
        <v>538.07997102798959</v>
      </c>
      <c r="M63" s="2">
        <f t="shared" si="11"/>
        <v>638.39457825518718</v>
      </c>
      <c r="N63" s="2">
        <f t="shared" si="11"/>
        <v>727.83609874343028</v>
      </c>
      <c r="O63" s="2">
        <f t="shared" si="11"/>
        <v>804.66012234390087</v>
      </c>
      <c r="P63" s="2">
        <f t="shared" si="11"/>
        <v>867.86096213658595</v>
      </c>
      <c r="Q63" s="2">
        <f t="shared" si="11"/>
        <v>926.69353082303905</v>
      </c>
      <c r="R63" s="2">
        <f t="shared" si="11"/>
        <v>948.73950708844575</v>
      </c>
      <c r="S63" s="2">
        <f t="shared" si="11"/>
        <v>965.09542274911848</v>
      </c>
      <c r="T63" s="2">
        <f t="shared" si="11"/>
        <v>965.09542274911848</v>
      </c>
      <c r="U63" s="2">
        <f t="shared" si="11"/>
        <v>948.73950708844575</v>
      </c>
      <c r="V63" s="2">
        <f t="shared" si="11"/>
        <v>926.69353082303905</v>
      </c>
      <c r="W63" s="2">
        <f t="shared" si="11"/>
        <v>867.86096213658595</v>
      </c>
      <c r="X63" s="2">
        <f t="shared" si="11"/>
        <v>804.66012234390087</v>
      </c>
      <c r="Y63" s="2">
        <f t="shared" si="11"/>
        <v>727.83609874343028</v>
      </c>
      <c r="Z63" s="2">
        <f t="shared" si="11"/>
        <v>638.39457825518718</v>
      </c>
      <c r="AA63" s="2">
        <f t="shared" si="11"/>
        <v>538.07997102798959</v>
      </c>
      <c r="AB63" s="2">
        <f t="shared" si="11"/>
        <v>428.54806817081112</v>
      </c>
      <c r="AC63" s="2">
        <f t="shared" si="11"/>
        <v>311.69105485023806</v>
      </c>
      <c r="AD63" s="2">
        <f t="shared" si="11"/>
        <v>189.5408091620528</v>
      </c>
      <c r="AE63" s="2">
        <f t="shared" si="11"/>
        <v>63.917870910841707</v>
      </c>
      <c r="AF63" s="2"/>
    </row>
    <row r="64" spans="1:32">
      <c r="A64" t="s">
        <v>507</v>
      </c>
      <c r="G64" s="2">
        <f t="shared" si="2"/>
        <v>280.27298317302285</v>
      </c>
      <c r="H64" s="2">
        <f t="shared" ref="H64:AE64" si="12">$F$6*SIN(PI()/180*H44)</f>
        <v>57.959142451783471</v>
      </c>
      <c r="I64" s="2">
        <f t="shared" si="12"/>
        <v>172.04062231293</v>
      </c>
      <c r="J64" s="2">
        <f t="shared" si="12"/>
        <v>283.28172087777227</v>
      </c>
      <c r="K64" s="2">
        <f t="shared" si="12"/>
        <v>389.39263549614606</v>
      </c>
      <c r="L64" s="2">
        <f t="shared" si="12"/>
        <v>488.99790893945635</v>
      </c>
      <c r="M64" s="2">
        <f t="shared" si="12"/>
        <v>580.31268855220014</v>
      </c>
      <c r="N64" s="2">
        <f t="shared" si="12"/>
        <v>661.48235294617166</v>
      </c>
      <c r="O64" s="2">
        <f t="shared" si="12"/>
        <v>731.46772369833616</v>
      </c>
      <c r="P64" s="2">
        <f t="shared" si="12"/>
        <v>788.95747478089834</v>
      </c>
      <c r="Q64" s="2">
        <f t="shared" si="12"/>
        <v>832.74460956695975</v>
      </c>
      <c r="R64" s="2">
        <f t="shared" si="12"/>
        <v>862.50408463262829</v>
      </c>
      <c r="S64" s="2">
        <f t="shared" si="12"/>
        <v>877.41063189726526</v>
      </c>
      <c r="T64" s="2">
        <f t="shared" si="12"/>
        <v>877.41063189726526</v>
      </c>
      <c r="U64" s="2">
        <f t="shared" si="12"/>
        <v>862.50408463262829</v>
      </c>
      <c r="V64" s="2">
        <f t="shared" si="12"/>
        <v>832.74460956695975</v>
      </c>
      <c r="W64" s="2">
        <f t="shared" si="12"/>
        <v>788.95747478089834</v>
      </c>
      <c r="X64" s="2">
        <f t="shared" si="12"/>
        <v>731.46772369833616</v>
      </c>
      <c r="Y64" s="2">
        <f t="shared" si="12"/>
        <v>661.48235294617166</v>
      </c>
      <c r="Z64" s="2">
        <f t="shared" si="12"/>
        <v>580.31268855220014</v>
      </c>
      <c r="AA64" s="2">
        <f t="shared" si="12"/>
        <v>488.99790893945635</v>
      </c>
      <c r="AB64" s="2">
        <f t="shared" si="12"/>
        <v>389.39263549614606</v>
      </c>
      <c r="AC64" s="2">
        <f t="shared" si="12"/>
        <v>283.28172087777227</v>
      </c>
      <c r="AD64" s="2">
        <f t="shared" si="12"/>
        <v>172.04062231293</v>
      </c>
      <c r="AE64" s="2">
        <f t="shared" si="12"/>
        <v>57.959142451783471</v>
      </c>
      <c r="AF64" s="2"/>
    </row>
    <row r="65" spans="1:32">
      <c r="A65" t="s">
        <v>508</v>
      </c>
      <c r="G65" s="2">
        <f t="shared" si="2"/>
        <v>250.04350671045813</v>
      </c>
      <c r="H65" s="2">
        <f t="shared" ref="H65:AE65" si="13">$F$6*SIN(PI()/180*H45)</f>
        <v>51.522479709800514</v>
      </c>
      <c r="I65" s="2">
        <f t="shared" si="13"/>
        <v>153.3263915887585</v>
      </c>
      <c r="J65" s="2">
        <f t="shared" si="13"/>
        <v>252.63397595571755</v>
      </c>
      <c r="K65" s="2">
        <f t="shared" si="13"/>
        <v>347.34864317680297</v>
      </c>
      <c r="L65" s="2">
        <f t="shared" si="13"/>
        <v>436.24349392443469</v>
      </c>
      <c r="M65" s="2">
        <f t="shared" si="13"/>
        <v>517.61265992077585</v>
      </c>
      <c r="N65" s="2">
        <f t="shared" si="13"/>
        <v>590.23085248800987</v>
      </c>
      <c r="O65" s="2">
        <f t="shared" si="13"/>
        <v>652.69533334091648</v>
      </c>
      <c r="P65" s="2">
        <f t="shared" si="13"/>
        <v>703.8525291259931</v>
      </c>
      <c r="Q65" s="2">
        <f t="shared" si="13"/>
        <v>743.120337188608</v>
      </c>
      <c r="R65" s="2">
        <f t="shared" si="13"/>
        <v>769.5515376026317</v>
      </c>
      <c r="S65" s="2">
        <f t="shared" si="13"/>
        <v>782.90592702854622</v>
      </c>
      <c r="T65" s="2">
        <f t="shared" si="13"/>
        <v>782.90592702854622</v>
      </c>
      <c r="U65" s="2">
        <f t="shared" si="13"/>
        <v>769.5515376026317</v>
      </c>
      <c r="V65" s="2">
        <f t="shared" si="13"/>
        <v>743.120337188608</v>
      </c>
      <c r="W65" s="2">
        <f t="shared" si="13"/>
        <v>703.8525291259931</v>
      </c>
      <c r="X65" s="2">
        <f t="shared" si="13"/>
        <v>652.69533334091648</v>
      </c>
      <c r="Y65" s="2">
        <f t="shared" si="13"/>
        <v>590.23085248800987</v>
      </c>
      <c r="Z65" s="2">
        <f t="shared" si="13"/>
        <v>517.61265992077585</v>
      </c>
      <c r="AA65" s="2">
        <f t="shared" si="13"/>
        <v>436.24349392443469</v>
      </c>
      <c r="AB65" s="2">
        <f t="shared" si="13"/>
        <v>347.34864317680297</v>
      </c>
      <c r="AC65" s="2">
        <f t="shared" si="13"/>
        <v>252.63397595571755</v>
      </c>
      <c r="AD65" s="2">
        <f t="shared" si="13"/>
        <v>153.3263915887585</v>
      </c>
      <c r="AE65" s="2">
        <f t="shared" si="13"/>
        <v>51.522479709800514</v>
      </c>
      <c r="AF65" s="2"/>
    </row>
    <row r="66" spans="1:32">
      <c r="A66" t="s">
        <v>509</v>
      </c>
      <c r="G66" s="2">
        <f t="shared" si="2"/>
        <v>217.92951953255195</v>
      </c>
      <c r="H66" s="2">
        <f t="shared" ref="H66:AE66" si="14">$F$6*SIN(PI()/180*H46)</f>
        <v>44.607756663940144</v>
      </c>
      <c r="I66" s="2">
        <f t="shared" si="14"/>
        <v>133.39582397075733</v>
      </c>
      <c r="J66" s="2">
        <f t="shared" si="14"/>
        <v>219.97056784972216</v>
      </c>
      <c r="K66" s="2">
        <f t="shared" si="14"/>
        <v>302.62413415426892</v>
      </c>
      <c r="L66" s="2">
        <f t="shared" si="14"/>
        <v>380.2351312927849</v>
      </c>
      <c r="M66" s="2">
        <f t="shared" si="14"/>
        <v>451.13757841429788</v>
      </c>
      <c r="N66" s="2">
        <f t="shared" si="14"/>
        <v>514.51961710846979</v>
      </c>
      <c r="O66" s="2">
        <f t="shared" si="14"/>
        <v>568.83890288496889</v>
      </c>
      <c r="P66" s="2">
        <f t="shared" si="14"/>
        <v>613.57954785965887</v>
      </c>
      <c r="Q66" s="2">
        <f t="shared" si="14"/>
        <v>647.86850187986806</v>
      </c>
      <c r="R66" s="2">
        <f t="shared" si="14"/>
        <v>670.85756111047397</v>
      </c>
      <c r="S66" s="2">
        <f t="shared" si="14"/>
        <v>682.67334559203562</v>
      </c>
      <c r="T66" s="2">
        <f t="shared" si="14"/>
        <v>682.67334559203562</v>
      </c>
      <c r="U66" s="2">
        <f t="shared" si="14"/>
        <v>670.85756111047397</v>
      </c>
      <c r="V66" s="2">
        <f t="shared" si="14"/>
        <v>647.86850187986806</v>
      </c>
      <c r="W66" s="2">
        <f t="shared" si="14"/>
        <v>613.57954785965887</v>
      </c>
      <c r="X66" s="2">
        <f t="shared" si="14"/>
        <v>568.83890288496889</v>
      </c>
      <c r="Y66" s="2">
        <f t="shared" si="14"/>
        <v>514.51961710846979</v>
      </c>
      <c r="Z66" s="2">
        <f t="shared" si="14"/>
        <v>451.13757841429788</v>
      </c>
      <c r="AA66" s="2">
        <f t="shared" si="14"/>
        <v>380.2351312927849</v>
      </c>
      <c r="AB66" s="2">
        <f t="shared" si="14"/>
        <v>302.62413415426892</v>
      </c>
      <c r="AC66" s="2">
        <f t="shared" si="14"/>
        <v>219.97056784972216</v>
      </c>
      <c r="AD66" s="2">
        <f t="shared" si="14"/>
        <v>133.39582397075733</v>
      </c>
      <c r="AE66" s="2">
        <f t="shared" si="14"/>
        <v>44.607756663940144</v>
      </c>
      <c r="AF66" s="2"/>
    </row>
    <row r="67" spans="1:32">
      <c r="A67" t="s">
        <v>510</v>
      </c>
      <c r="G67" s="2">
        <f t="shared" si="2"/>
        <v>184.1470466962783</v>
      </c>
      <c r="H67" s="2">
        <f t="shared" ref="H67:AE67" si="15">$F$6*SIN(PI()/180*H47)</f>
        <v>37.453394473334477</v>
      </c>
      <c r="I67" s="2">
        <f t="shared" si="15"/>
        <v>112.48550293278892</v>
      </c>
      <c r="J67" s="2">
        <f t="shared" si="15"/>
        <v>185.75956375912159</v>
      </c>
      <c r="K67" s="2">
        <f t="shared" si="15"/>
        <v>255.68152047116101</v>
      </c>
      <c r="L67" s="2">
        <f t="shared" si="15"/>
        <v>321.207366934851</v>
      </c>
      <c r="M67" s="2">
        <f t="shared" si="15"/>
        <v>381.1517230301892</v>
      </c>
      <c r="N67" s="2">
        <f t="shared" si="15"/>
        <v>434.66038844890574</v>
      </c>
      <c r="O67" s="2">
        <f t="shared" si="15"/>
        <v>480.74419486819488</v>
      </c>
      <c r="P67" s="2">
        <f t="shared" si="15"/>
        <v>518.71657007614999</v>
      </c>
      <c r="Q67" s="2">
        <f t="shared" si="15"/>
        <v>547.49575095305079</v>
      </c>
      <c r="R67" s="2">
        <f t="shared" si="15"/>
        <v>567.10275855852819</v>
      </c>
      <c r="S67" s="2">
        <f t="shared" si="15"/>
        <v>577.0703862044046</v>
      </c>
      <c r="T67" s="2">
        <f t="shared" si="15"/>
        <v>577.0703862044046</v>
      </c>
      <c r="U67" s="2">
        <f t="shared" si="15"/>
        <v>567.10275855852819</v>
      </c>
      <c r="V67" s="2">
        <f t="shared" si="15"/>
        <v>547.49575095305079</v>
      </c>
      <c r="W67" s="2">
        <f t="shared" si="15"/>
        <v>518.71657007614999</v>
      </c>
      <c r="X67" s="2">
        <f t="shared" si="15"/>
        <v>480.74419486819488</v>
      </c>
      <c r="Y67" s="2">
        <f t="shared" si="15"/>
        <v>434.66038844890574</v>
      </c>
      <c r="Z67" s="2">
        <f t="shared" si="15"/>
        <v>381.1517230301892</v>
      </c>
      <c r="AA67" s="2">
        <f t="shared" si="15"/>
        <v>321.207366934851</v>
      </c>
      <c r="AB67" s="2">
        <f t="shared" si="15"/>
        <v>255.68152047116101</v>
      </c>
      <c r="AC67" s="2">
        <f t="shared" si="15"/>
        <v>185.75956375912159</v>
      </c>
      <c r="AD67" s="2">
        <f t="shared" si="15"/>
        <v>112.48550293278892</v>
      </c>
      <c r="AE67" s="2">
        <f t="shared" si="15"/>
        <v>37.453394473334477</v>
      </c>
      <c r="AF67" s="2"/>
    </row>
    <row r="68" spans="1:32">
      <c r="A68" t="s">
        <v>511</v>
      </c>
      <c r="G68" s="2">
        <f t="shared" si="2"/>
        <v>148.9983363303335</v>
      </c>
      <c r="H68" s="2">
        <f t="shared" ref="H68:AE68" si="16">$F$6*SIN(PI()/180*H48)</f>
        <v>30.059477118454481</v>
      </c>
      <c r="I68" s="2">
        <f t="shared" si="16"/>
        <v>90.834482434472207</v>
      </c>
      <c r="J68" s="2">
        <f t="shared" si="16"/>
        <v>150.00680326145888</v>
      </c>
      <c r="K68" s="2">
        <f t="shared" si="16"/>
        <v>206.77354127794865</v>
      </c>
      <c r="L68" s="2">
        <f t="shared" si="16"/>
        <v>259.89902118134938</v>
      </c>
      <c r="M68" s="2">
        <f t="shared" si="16"/>
        <v>308.43790248261479</v>
      </c>
      <c r="N68" s="2">
        <f t="shared" si="16"/>
        <v>351.73108718254247</v>
      </c>
      <c r="O68" s="2">
        <f t="shared" si="16"/>
        <v>389.16392733425664</v>
      </c>
      <c r="P68" s="2">
        <f t="shared" si="16"/>
        <v>419.70239577102939</v>
      </c>
      <c r="Q68" s="2">
        <f t="shared" si="16"/>
        <v>443.24653009656163</v>
      </c>
      <c r="R68" s="2">
        <f t="shared" si="16"/>
        <v>459.01179229965777</v>
      </c>
      <c r="S68" s="2">
        <f t="shared" si="16"/>
        <v>467.09311148765767</v>
      </c>
      <c r="T68" s="2">
        <f t="shared" si="16"/>
        <v>467.09311148765767</v>
      </c>
      <c r="U68" s="2">
        <f t="shared" si="16"/>
        <v>459.01179229965777</v>
      </c>
      <c r="V68" s="2">
        <f t="shared" si="16"/>
        <v>443.24653009656163</v>
      </c>
      <c r="W68" s="2">
        <f t="shared" si="16"/>
        <v>419.70239577102939</v>
      </c>
      <c r="X68" s="2">
        <f t="shared" si="16"/>
        <v>389.16392733425664</v>
      </c>
      <c r="Y68" s="2">
        <f t="shared" si="16"/>
        <v>351.73108718254247</v>
      </c>
      <c r="Z68" s="2">
        <f t="shared" si="16"/>
        <v>308.43790248261479</v>
      </c>
      <c r="AA68" s="2">
        <f t="shared" si="16"/>
        <v>259.89902118134938</v>
      </c>
      <c r="AB68" s="2">
        <f t="shared" si="16"/>
        <v>206.77354127794865</v>
      </c>
      <c r="AC68" s="2">
        <f t="shared" si="16"/>
        <v>150.00680326145888</v>
      </c>
      <c r="AD68" s="2">
        <f t="shared" si="16"/>
        <v>90.834482434472207</v>
      </c>
      <c r="AE68" s="2">
        <f t="shared" si="16"/>
        <v>30.059477118454481</v>
      </c>
      <c r="AF68" s="2"/>
    </row>
    <row r="69" spans="1:32">
      <c r="A69" t="s">
        <v>512</v>
      </c>
      <c r="G69" s="2">
        <f t="shared" si="2"/>
        <v>112.65642671503603</v>
      </c>
      <c r="H69" s="2">
        <f t="shared" ref="H69:AE69" si="17">$F$6*SIN(PI()/180*H49)</f>
        <v>22.187571014002408</v>
      </c>
      <c r="I69" s="2">
        <f t="shared" si="17"/>
        <v>68.44569674320401</v>
      </c>
      <c r="J69" s="2">
        <f t="shared" si="17"/>
        <v>113.19881966918334</v>
      </c>
      <c r="K69" s="2">
        <f t="shared" si="17"/>
        <v>156.17102515167278</v>
      </c>
      <c r="L69" s="2">
        <f t="shared" si="17"/>
        <v>196.39052874239931</v>
      </c>
      <c r="M69" s="2">
        <f t="shared" si="17"/>
        <v>233.14658123534468</v>
      </c>
      <c r="N69" s="2">
        <f t="shared" si="17"/>
        <v>265.98642726339813</v>
      </c>
      <c r="O69" s="2">
        <f t="shared" si="17"/>
        <v>294.24221445440293</v>
      </c>
      <c r="P69" s="2">
        <f t="shared" si="17"/>
        <v>317.49561422025221</v>
      </c>
      <c r="Q69" s="2">
        <f t="shared" si="17"/>
        <v>335.33519649632308</v>
      </c>
      <c r="R69" s="2">
        <f t="shared" si="17"/>
        <v>347.57939377373737</v>
      </c>
      <c r="S69" s="2">
        <f t="shared" si="17"/>
        <v>353.57517239694448</v>
      </c>
      <c r="T69" s="2">
        <f t="shared" si="17"/>
        <v>353.57517239694448</v>
      </c>
      <c r="U69" s="2">
        <f t="shared" si="17"/>
        <v>347.57939377373737</v>
      </c>
      <c r="V69" s="2">
        <f t="shared" si="17"/>
        <v>335.33519649632308</v>
      </c>
      <c r="W69" s="2">
        <f t="shared" si="17"/>
        <v>317.49561422025221</v>
      </c>
      <c r="X69" s="2">
        <f t="shared" si="17"/>
        <v>294.24221445440293</v>
      </c>
      <c r="Y69" s="2">
        <f t="shared" si="17"/>
        <v>265.98642726339813</v>
      </c>
      <c r="Z69" s="2">
        <f t="shared" si="17"/>
        <v>233.14658123534468</v>
      </c>
      <c r="AA69" s="2">
        <f t="shared" si="17"/>
        <v>196.39052874239931</v>
      </c>
      <c r="AB69" s="2">
        <f t="shared" si="17"/>
        <v>156.17102515167278</v>
      </c>
      <c r="AC69" s="2">
        <f t="shared" si="17"/>
        <v>113.19881966918334</v>
      </c>
      <c r="AD69" s="2">
        <f t="shared" si="17"/>
        <v>68.44569674320401</v>
      </c>
      <c r="AE69" s="2">
        <f t="shared" si="17"/>
        <v>22.187571014002408</v>
      </c>
      <c r="AF69" s="2"/>
    </row>
    <row r="70" spans="1:32">
      <c r="A70" t="s">
        <v>513</v>
      </c>
      <c r="G70" s="2">
        <f t="shared" si="2"/>
        <v>75.494746664323955</v>
      </c>
      <c r="H70" s="2">
        <f t="shared" ref="H70:AE70" si="18">$F$6*SIN(PI()/180*H50)</f>
        <v>14.314928886907998</v>
      </c>
      <c r="I70" s="2">
        <f t="shared" si="18"/>
        <v>45.323128857115414</v>
      </c>
      <c r="J70" s="2">
        <f t="shared" si="18"/>
        <v>75.593343409821259</v>
      </c>
      <c r="K70" s="2">
        <f t="shared" si="18"/>
        <v>104.39913839929589</v>
      </c>
      <c r="L70" s="2">
        <f t="shared" si="18"/>
        <v>131.49611191081414</v>
      </c>
      <c r="M70" s="2">
        <f t="shared" si="18"/>
        <v>156.17102515167278</v>
      </c>
      <c r="N70" s="2">
        <f t="shared" si="18"/>
        <v>178.4293047648105</v>
      </c>
      <c r="O70" s="2">
        <f t="shared" si="18"/>
        <v>197.33492676833038</v>
      </c>
      <c r="P70" s="2">
        <f t="shared" si="18"/>
        <v>213.13893709002286</v>
      </c>
      <c r="Q70" s="2">
        <f t="shared" si="18"/>
        <v>225.14943459894513</v>
      </c>
      <c r="R70" s="2">
        <f t="shared" si="18"/>
        <v>233.14658123534468</v>
      </c>
      <c r="S70" s="2">
        <f t="shared" si="18"/>
        <v>237.37705887069376</v>
      </c>
      <c r="T70" s="2">
        <f t="shared" si="18"/>
        <v>237.37705887069376</v>
      </c>
      <c r="U70" s="2">
        <f t="shared" si="18"/>
        <v>233.14658123534468</v>
      </c>
      <c r="V70" s="2">
        <f t="shared" si="18"/>
        <v>225.14943459894513</v>
      </c>
      <c r="W70" s="2">
        <f t="shared" si="18"/>
        <v>213.13893709002286</v>
      </c>
      <c r="X70" s="2">
        <f t="shared" si="18"/>
        <v>197.33492676833038</v>
      </c>
      <c r="Y70" s="2">
        <f t="shared" si="18"/>
        <v>178.4293047648105</v>
      </c>
      <c r="Z70" s="2">
        <f t="shared" si="18"/>
        <v>156.17102515167278</v>
      </c>
      <c r="AA70" s="2">
        <f t="shared" si="18"/>
        <v>131.49611191081414</v>
      </c>
      <c r="AB70" s="2">
        <f t="shared" si="18"/>
        <v>104.39913839929589</v>
      </c>
      <c r="AC70" s="2">
        <f t="shared" si="18"/>
        <v>75.593343409821259</v>
      </c>
      <c r="AD70" s="2">
        <f t="shared" si="18"/>
        <v>45.323128857115414</v>
      </c>
      <c r="AE70" s="2">
        <f t="shared" si="18"/>
        <v>14.314928886907998</v>
      </c>
      <c r="AF70" s="2"/>
    </row>
    <row r="71" spans="1:32">
      <c r="A71" t="s">
        <v>514</v>
      </c>
      <c r="G71" s="2">
        <f t="shared" si="2"/>
        <v>37.763934013669378</v>
      </c>
      <c r="H71" s="2">
        <f t="shared" ref="H71:AE71" si="19">$F$6*SIN(PI()/180*H51)</f>
        <v>6.441811894323469</v>
      </c>
      <c r="I71" s="2">
        <f t="shared" si="19"/>
        <v>21.949015597270865</v>
      </c>
      <c r="J71" s="2">
        <f t="shared" si="19"/>
        <v>37.214896961261807</v>
      </c>
      <c r="K71" s="2">
        <f t="shared" si="19"/>
        <v>51.999310534199267</v>
      </c>
      <c r="L71" s="2">
        <f t="shared" si="19"/>
        <v>65.586101688677175</v>
      </c>
      <c r="M71" s="2">
        <f t="shared" si="19"/>
        <v>78.213638292206937</v>
      </c>
      <c r="N71" s="2">
        <f t="shared" si="19"/>
        <v>89.406077657605564</v>
      </c>
      <c r="O71" s="2">
        <f t="shared" si="19"/>
        <v>98.926848606676415</v>
      </c>
      <c r="P71" s="2">
        <f t="shared" si="19"/>
        <v>107.01573120144074</v>
      </c>
      <c r="Q71" s="2">
        <f t="shared" si="19"/>
        <v>112.96105086229458</v>
      </c>
      <c r="R71" s="2">
        <f t="shared" si="19"/>
        <v>117.2403558968505</v>
      </c>
      <c r="S71" s="2">
        <f t="shared" si="19"/>
        <v>119.37957713525773</v>
      </c>
      <c r="T71" s="2">
        <f t="shared" si="19"/>
        <v>119.37957713525773</v>
      </c>
      <c r="U71" s="2">
        <f t="shared" si="19"/>
        <v>117.2403558968505</v>
      </c>
      <c r="V71" s="2">
        <f t="shared" si="19"/>
        <v>112.96105086229458</v>
      </c>
      <c r="W71" s="2">
        <f t="shared" si="19"/>
        <v>107.01573120144074</v>
      </c>
      <c r="X71" s="2">
        <f t="shared" si="19"/>
        <v>98.926848606676415</v>
      </c>
      <c r="Y71" s="2">
        <f t="shared" si="19"/>
        <v>89.406077657605564</v>
      </c>
      <c r="Z71" s="2">
        <f t="shared" si="19"/>
        <v>78.213638292206937</v>
      </c>
      <c r="AA71" s="2">
        <f t="shared" si="19"/>
        <v>65.586101688677175</v>
      </c>
      <c r="AB71" s="2">
        <f t="shared" si="19"/>
        <v>51.999310534199267</v>
      </c>
      <c r="AC71" s="2">
        <f t="shared" si="19"/>
        <v>37.214896961261807</v>
      </c>
      <c r="AD71" s="2">
        <f t="shared" si="19"/>
        <v>21.949015597270865</v>
      </c>
      <c r="AE71" s="2">
        <f t="shared" si="19"/>
        <v>6.441811894323469</v>
      </c>
      <c r="AF71" s="2"/>
    </row>
    <row r="72" spans="1:32"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>
      <c r="A73" s="3" t="s">
        <v>746</v>
      </c>
      <c r="C73" s="3" t="s">
        <v>748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>
      <c r="C74" s="3" t="s">
        <v>749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>
      <c r="C75" s="3" t="s">
        <v>750</v>
      </c>
      <c r="G75" s="2"/>
      <c r="H75" s="2"/>
      <c r="I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>
      <c r="C76" t="s">
        <v>456</v>
      </c>
      <c r="G76" s="2"/>
      <c r="H76" s="2"/>
      <c r="I76" s="2"/>
      <c r="J76" s="12"/>
      <c r="K76" s="58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>
      <c r="A77" s="3" t="s">
        <v>714</v>
      </c>
      <c r="C77" s="3"/>
      <c r="G77" s="2"/>
      <c r="H77" s="2"/>
      <c r="I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>
      <c r="I78" s="2"/>
      <c r="K78" s="12"/>
      <c r="L78" s="58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>
      <c r="A79" t="s">
        <v>752</v>
      </c>
      <c r="C79" s="3"/>
      <c r="G79" s="2"/>
      <c r="H79" s="2"/>
      <c r="I79" s="2"/>
      <c r="K79" s="2"/>
      <c r="L79" s="2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>
      <c r="B80" t="s">
        <v>753</v>
      </c>
      <c r="I80" s="2"/>
      <c r="K80" s="2"/>
      <c r="L80" s="2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>
      <c r="B81" t="s">
        <v>754</v>
      </c>
      <c r="C81" s="3"/>
      <c r="G81" s="2"/>
      <c r="H81" s="2"/>
      <c r="I81" s="2"/>
      <c r="K81" s="2"/>
      <c r="L81" s="2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>
      <c r="A82" t="s">
        <v>453</v>
      </c>
      <c r="C82" s="3"/>
      <c r="G82" s="2"/>
      <c r="H82" s="2"/>
      <c r="I82" s="2"/>
      <c r="K82" s="2"/>
      <c r="L82" s="2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>
      <c r="B83" t="s">
        <v>454</v>
      </c>
      <c r="C83" s="3"/>
      <c r="G83" s="2"/>
      <c r="H83" s="2"/>
      <c r="I83" s="2"/>
      <c r="K83" s="2"/>
      <c r="L83" s="2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>
      <c r="B84" t="s">
        <v>455</v>
      </c>
      <c r="C84" s="3"/>
      <c r="G84" s="2"/>
      <c r="H84" s="2"/>
      <c r="I84" s="2"/>
      <c r="K84" s="2"/>
      <c r="L84" s="2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>
      <c r="A85" t="s">
        <v>452</v>
      </c>
      <c r="C85" s="3"/>
      <c r="G85" s="2"/>
      <c r="H85" s="2"/>
      <c r="I85" s="2"/>
      <c r="K85" s="2"/>
      <c r="L85" s="2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5" customHeight="1">
      <c r="A86" t="s">
        <v>451</v>
      </c>
      <c r="C86" s="3"/>
      <c r="G86" s="2"/>
      <c r="H86" s="2"/>
      <c r="I86" s="2"/>
      <c r="K86" s="2"/>
      <c r="L86" s="21"/>
      <c r="M86" s="2"/>
      <c r="N86" s="2"/>
      <c r="O86" s="2"/>
      <c r="P86" s="2"/>
      <c r="Q86" s="2"/>
      <c r="S86" s="4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5.4" customHeight="1">
      <c r="B87" t="s">
        <v>580</v>
      </c>
      <c r="C87" s="3"/>
      <c r="F87" s="22">
        <f ca="1">Tabelle1!F33</f>
        <v>0.3</v>
      </c>
      <c r="G87" s="2"/>
      <c r="H87" s="2" t="s">
        <v>595</v>
      </c>
      <c r="I87" s="2"/>
      <c r="K87" s="2"/>
      <c r="L87" s="21"/>
      <c r="M87" s="2"/>
      <c r="N87" s="2"/>
      <c r="O87" s="2"/>
      <c r="P87" s="2"/>
      <c r="Q87" s="2"/>
      <c r="R87" s="41"/>
      <c r="S87" s="4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5" customHeight="1">
      <c r="B88" t="s">
        <v>581</v>
      </c>
      <c r="C88" s="3"/>
      <c r="F88" s="22">
        <f ca="1">Tabelle1!F34</f>
        <v>0.2</v>
      </c>
      <c r="G88" s="2"/>
      <c r="H88" s="2" t="s">
        <v>596</v>
      </c>
      <c r="I88" s="2"/>
      <c r="K88" s="2"/>
      <c r="L88" s="21"/>
      <c r="M88" s="2"/>
      <c r="N88" s="2"/>
      <c r="O88" s="2"/>
      <c r="P88" s="2"/>
      <c r="Q88" s="2"/>
      <c r="R88" s="42"/>
      <c r="S88" s="41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>
      <c r="B89" t="s">
        <v>710</v>
      </c>
      <c r="C89" s="3"/>
      <c r="F89" s="22">
        <f ca="1">Tabelle1!F35</f>
        <v>0.25</v>
      </c>
      <c r="G89" s="2"/>
      <c r="H89" s="2" t="s">
        <v>711</v>
      </c>
      <c r="I89" s="2"/>
      <c r="K89" s="2"/>
      <c r="L89" s="21"/>
      <c r="M89" s="2"/>
      <c r="N89" s="2"/>
      <c r="O89" s="2"/>
      <c r="P89" s="2"/>
      <c r="Q89" s="2"/>
      <c r="R89" s="2"/>
      <c r="S89" s="2"/>
      <c r="T89" s="8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4.45" customHeight="1">
      <c r="I90" s="2"/>
      <c r="K90" s="2"/>
      <c r="L90" s="21"/>
      <c r="M90" s="2"/>
      <c r="N90" s="2"/>
      <c r="O90" s="2"/>
      <c r="P90" s="2"/>
      <c r="Q90" s="2"/>
      <c r="R90" s="2"/>
      <c r="S90" s="2"/>
      <c r="T90" s="8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>
      <c r="A91" s="66" t="s">
        <v>582</v>
      </c>
      <c r="B91" s="44"/>
      <c r="C91" s="3"/>
      <c r="E91" s="66" t="s">
        <v>761</v>
      </c>
      <c r="F91" s="44"/>
      <c r="G91" s="52"/>
      <c r="H91" s="44"/>
      <c r="I91" s="52"/>
      <c r="J91" s="44"/>
      <c r="K91" s="2"/>
      <c r="L91" s="21"/>
      <c r="N91" s="2"/>
      <c r="O91" s="2"/>
      <c r="P91" s="2"/>
      <c r="Q91" s="2"/>
      <c r="R91" s="2"/>
      <c r="S91" s="2"/>
      <c r="T91" s="8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>
      <c r="A92" s="44"/>
      <c r="B92" s="59" t="s">
        <v>760</v>
      </c>
      <c r="C92" s="3"/>
      <c r="E92" s="44"/>
      <c r="F92" s="66" t="s">
        <v>763</v>
      </c>
      <c r="G92" s="52"/>
      <c r="H92" s="52"/>
      <c r="I92" s="52"/>
      <c r="J92" s="44"/>
      <c r="K92" s="2"/>
      <c r="L92" s="21"/>
      <c r="N92" s="2"/>
      <c r="O92" s="2"/>
      <c r="P92" s="2"/>
      <c r="Q92" s="2"/>
      <c r="R92" s="2"/>
      <c r="S92" s="2"/>
      <c r="T92" s="8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>
      <c r="C93" s="3"/>
      <c r="E93" s="44"/>
      <c r="F93" s="44"/>
      <c r="G93" s="66" t="s">
        <v>764</v>
      </c>
      <c r="H93" s="44"/>
      <c r="I93" s="52"/>
      <c r="J93" s="44"/>
      <c r="K93" s="2"/>
      <c r="L93" s="21"/>
      <c r="M93" s="2"/>
      <c r="N93" s="2"/>
      <c r="O93" s="2"/>
      <c r="P93" s="2"/>
      <c r="Q93" s="2"/>
      <c r="R93" s="2"/>
      <c r="S93" s="2"/>
      <c r="T93" s="8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>
      <c r="C94" s="3"/>
      <c r="E94" s="44"/>
      <c r="F94" s="44"/>
      <c r="G94" s="44"/>
      <c r="H94" s="66" t="s">
        <v>765</v>
      </c>
      <c r="I94" s="52"/>
      <c r="J94" s="44"/>
      <c r="K94" s="2"/>
      <c r="L94" s="21"/>
      <c r="M94" s="2"/>
      <c r="N94" s="2"/>
      <c r="O94" s="2"/>
      <c r="P94" s="2"/>
      <c r="Q94" s="2"/>
      <c r="R94" s="2"/>
      <c r="S94" s="2"/>
      <c r="T94" s="8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>
      <c r="C95" s="3"/>
      <c r="E95" s="44"/>
      <c r="F95" s="44"/>
      <c r="G95" s="52"/>
      <c r="H95" s="52"/>
      <c r="I95" s="66" t="s">
        <v>762</v>
      </c>
      <c r="J95" s="44"/>
      <c r="K95" s="2"/>
      <c r="L95" s="21"/>
      <c r="M95" s="2"/>
      <c r="N95" s="2"/>
      <c r="O95" s="2"/>
      <c r="P95" s="2"/>
      <c r="Q95" s="2"/>
      <c r="R95" s="2"/>
      <c r="S95" s="2"/>
      <c r="T95" s="8"/>
      <c r="AD95" s="2"/>
      <c r="AE95" s="2"/>
      <c r="AF95" s="2"/>
    </row>
    <row r="96" spans="1:32">
      <c r="A96" t="s">
        <v>759</v>
      </c>
      <c r="C96" s="48" t="s">
        <v>608</v>
      </c>
      <c r="D96" s="34" t="s">
        <v>583</v>
      </c>
      <c r="E96" s="44"/>
      <c r="F96" s="44"/>
      <c r="G96" s="44"/>
      <c r="H96" s="44"/>
      <c r="I96" s="44"/>
      <c r="J96" s="66" t="s">
        <v>766</v>
      </c>
      <c r="K96" s="2"/>
      <c r="L96" s="21"/>
      <c r="M96" s="2"/>
      <c r="N96" s="2"/>
      <c r="O96" s="2"/>
      <c r="P96" s="2"/>
      <c r="Q96" s="2"/>
      <c r="R96" s="2"/>
      <c r="S96" s="2"/>
      <c r="T96" s="8"/>
      <c r="Z96" s="16" t="s">
        <v>281</v>
      </c>
      <c r="AD96" s="2"/>
      <c r="AE96" s="2"/>
      <c r="AF96" s="2"/>
    </row>
    <row r="97" spans="1:32">
      <c r="A97">
        <f>0.0836688</f>
        <v>8.3668800000000002E-2</v>
      </c>
      <c r="C97" s="37">
        <f t="shared" ref="C97:C114" si="20">$A$97*COS($D97*PI()/180)</f>
        <v>8.3668800000000002E-2</v>
      </c>
      <c r="D97" s="35">
        <v>0</v>
      </c>
      <c r="E97" s="81" t="s">
        <v>713</v>
      </c>
      <c r="F97" s="81" t="s">
        <v>713</v>
      </c>
      <c r="G97" s="81" t="s">
        <v>713</v>
      </c>
      <c r="H97" s="81" t="s">
        <v>713</v>
      </c>
      <c r="I97" s="81" t="s">
        <v>713</v>
      </c>
      <c r="J97" s="81" t="s">
        <v>713</v>
      </c>
      <c r="K97" s="2"/>
      <c r="L97" s="21"/>
      <c r="M97" s="2"/>
      <c r="N97" s="2"/>
      <c r="O97" s="2"/>
      <c r="P97" s="2"/>
      <c r="Q97" s="2"/>
      <c r="R97" s="2"/>
      <c r="S97" s="2"/>
      <c r="T97" s="8"/>
      <c r="Z97" s="16" t="s">
        <v>282</v>
      </c>
      <c r="AD97" s="2"/>
      <c r="AE97" s="2"/>
      <c r="AF97" s="2"/>
    </row>
    <row r="98" spans="1:32" ht="18.75">
      <c r="C98" s="37">
        <f t="shared" si="20"/>
        <v>8.3350414955698643E-2</v>
      </c>
      <c r="D98" s="35">
        <v>5</v>
      </c>
      <c r="E98" s="81" t="s">
        <v>713</v>
      </c>
      <c r="F98" s="81" t="s">
        <v>713</v>
      </c>
      <c r="G98" s="81" t="s">
        <v>713</v>
      </c>
      <c r="H98" s="81" t="s">
        <v>713</v>
      </c>
      <c r="I98" s="81" t="s">
        <v>713</v>
      </c>
      <c r="J98" s="81" t="s">
        <v>713</v>
      </c>
      <c r="K98" s="2"/>
      <c r="L98" s="41" t="s">
        <v>587</v>
      </c>
      <c r="N98" s="2"/>
      <c r="O98" s="2"/>
      <c r="P98" s="2"/>
      <c r="Q98" s="2"/>
      <c r="R98" s="2"/>
      <c r="S98" s="2"/>
      <c r="T98" s="8"/>
      <c r="U98" s="2"/>
      <c r="Z98" s="16"/>
      <c r="AB98" s="16" t="s">
        <v>281</v>
      </c>
      <c r="AD98" s="2"/>
      <c r="AE98" s="2"/>
      <c r="AF98" s="2"/>
    </row>
    <row r="99" spans="1:32">
      <c r="A99" t="s">
        <v>755</v>
      </c>
      <c r="C99" s="37">
        <f t="shared" si="20"/>
        <v>8.2397682925227839E-2</v>
      </c>
      <c r="D99" s="35">
        <v>10</v>
      </c>
      <c r="E99" s="81" t="s">
        <v>713</v>
      </c>
      <c r="F99" s="81" t="s">
        <v>713</v>
      </c>
      <c r="G99" s="81" t="s">
        <v>713</v>
      </c>
      <c r="H99" s="81" t="s">
        <v>713</v>
      </c>
      <c r="I99" s="81" t="s">
        <v>713</v>
      </c>
      <c r="J99" s="81" t="s">
        <v>713</v>
      </c>
      <c r="K99" s="2"/>
      <c r="L99" s="7" t="s">
        <v>449</v>
      </c>
      <c r="N99" s="2"/>
      <c r="O99" s="2"/>
      <c r="P99" s="2"/>
      <c r="Q99" s="2"/>
      <c r="R99" s="2"/>
      <c r="S99" s="2"/>
      <c r="T99" s="8"/>
      <c r="U99" s="2"/>
      <c r="AB99" s="16" t="s">
        <v>284</v>
      </c>
      <c r="AD99" s="2"/>
      <c r="AE99" s="2"/>
      <c r="AF99" s="2"/>
    </row>
    <row r="100" spans="1:32">
      <c r="A100" t="s">
        <v>756</v>
      </c>
      <c r="C100" s="37">
        <f t="shared" si="20"/>
        <v>8.0817854774614797E-2</v>
      </c>
      <c r="D100" s="35">
        <v>15</v>
      </c>
      <c r="E100" s="81" t="s">
        <v>713</v>
      </c>
      <c r="F100" s="81" t="s">
        <v>713</v>
      </c>
      <c r="G100" s="81" t="s">
        <v>713</v>
      </c>
      <c r="H100" s="81" t="s">
        <v>713</v>
      </c>
      <c r="I100" s="81" t="s">
        <v>713</v>
      </c>
      <c r="J100" s="81" t="s">
        <v>713</v>
      </c>
      <c r="K100" s="2"/>
      <c r="L100" s="2" t="s">
        <v>784</v>
      </c>
      <c r="N100" s="2"/>
      <c r="O100" s="2"/>
      <c r="P100" s="2"/>
      <c r="Q100" s="2"/>
      <c r="R100" s="2"/>
      <c r="S100" s="32" t="s">
        <v>793</v>
      </c>
      <c r="T100" s="8"/>
      <c r="U100" s="2"/>
      <c r="V100" s="32">
        <f>L115+M115+N115</f>
        <v>0.73347521001127025</v>
      </c>
      <c r="W100" s="32" t="s">
        <v>479</v>
      </c>
      <c r="X100" s="5" t="s">
        <v>422</v>
      </c>
      <c r="Z100" s="32">
        <f>V100*$W$111</f>
        <v>0.13936028990214136</v>
      </c>
      <c r="AA100" s="16" t="s">
        <v>497</v>
      </c>
      <c r="AB100" s="32">
        <f>Z100/$B$115</f>
        <v>0.44922833599424689</v>
      </c>
      <c r="AC100" s="16" t="s">
        <v>497</v>
      </c>
      <c r="AD100" s="2"/>
      <c r="AE100" s="2"/>
      <c r="AF100" s="2"/>
    </row>
    <row r="101" spans="1:32">
      <c r="A101" t="s">
        <v>757</v>
      </c>
      <c r="C101" s="37">
        <f t="shared" si="20"/>
        <v>7.8622953950012023E-2</v>
      </c>
      <c r="D101" s="35">
        <v>20</v>
      </c>
      <c r="E101" s="81" t="s">
        <v>713</v>
      </c>
      <c r="F101" s="81" t="s">
        <v>713</v>
      </c>
      <c r="G101" s="81" t="s">
        <v>713</v>
      </c>
      <c r="H101" s="81" t="s">
        <v>713</v>
      </c>
      <c r="I101" s="81" t="s">
        <v>713</v>
      </c>
      <c r="J101" s="81" t="s">
        <v>713</v>
      </c>
      <c r="K101" s="2"/>
      <c r="L101" s="2" t="s">
        <v>785</v>
      </c>
      <c r="N101" s="2"/>
      <c r="O101" s="2" t="s">
        <v>786</v>
      </c>
      <c r="P101" s="2"/>
      <c r="Q101" s="2"/>
      <c r="R101" s="2"/>
      <c r="S101" s="32" t="s">
        <v>794</v>
      </c>
      <c r="T101" s="8"/>
      <c r="U101" s="2"/>
      <c r="V101" s="32">
        <f>O115+P115+Q115</f>
        <v>3.3261821481477769</v>
      </c>
      <c r="W101" s="32" t="s">
        <v>479</v>
      </c>
      <c r="X101" s="5" t="s">
        <v>423</v>
      </c>
      <c r="Z101" s="32">
        <f>V101*$W$111</f>
        <v>0.6319746081480776</v>
      </c>
      <c r="AA101" s="16" t="s">
        <v>497</v>
      </c>
      <c r="AB101" s="32">
        <f>Z101/$B$115</f>
        <v>2.0371721514667631</v>
      </c>
      <c r="AC101" s="16" t="s">
        <v>497</v>
      </c>
      <c r="AD101" s="2"/>
      <c r="AE101" s="2"/>
      <c r="AF101" s="2"/>
    </row>
    <row r="102" spans="1:32">
      <c r="A102" t="s">
        <v>758</v>
      </c>
      <c r="C102" s="37">
        <f t="shared" si="20"/>
        <v>7.5829684972012062E-2</v>
      </c>
      <c r="D102" s="35">
        <v>25</v>
      </c>
      <c r="E102" s="81" t="s">
        <v>713</v>
      </c>
      <c r="F102" s="81" t="s">
        <v>713</v>
      </c>
      <c r="G102" s="81" t="s">
        <v>713</v>
      </c>
      <c r="H102" s="81" t="s">
        <v>713</v>
      </c>
      <c r="I102" s="81" t="s">
        <v>713</v>
      </c>
      <c r="J102" s="81" t="s">
        <v>713</v>
      </c>
      <c r="K102" s="2"/>
      <c r="L102" s="21" t="s">
        <v>778</v>
      </c>
      <c r="M102" s="21" t="s">
        <v>779</v>
      </c>
      <c r="N102" s="21" t="s">
        <v>780</v>
      </c>
      <c r="O102" s="21" t="s">
        <v>781</v>
      </c>
      <c r="P102" s="21" t="s">
        <v>782</v>
      </c>
      <c r="Q102" s="21" t="s">
        <v>783</v>
      </c>
      <c r="R102" s="2"/>
      <c r="S102" s="2"/>
      <c r="T102" s="8"/>
      <c r="U102" s="2"/>
      <c r="AD102" s="2"/>
      <c r="AE102" s="2"/>
      <c r="AF102" s="2"/>
    </row>
    <row r="103" spans="1:32">
      <c r="C103" s="37">
        <f t="shared" si="20"/>
        <v>7.2459306304159449E-2</v>
      </c>
      <c r="D103" s="35">
        <v>30</v>
      </c>
      <c r="E103" s="81" t="s">
        <v>713</v>
      </c>
      <c r="F103" s="81" t="s">
        <v>713</v>
      </c>
      <c r="G103" s="81" t="s">
        <v>713</v>
      </c>
      <c r="H103" s="81" t="s">
        <v>713</v>
      </c>
      <c r="I103" s="81" t="s">
        <v>713</v>
      </c>
      <c r="J103" s="81" t="s">
        <v>713</v>
      </c>
      <c r="K103" s="2"/>
      <c r="L103" s="94" t="s">
        <v>276</v>
      </c>
      <c r="N103" s="2"/>
      <c r="O103" s="94" t="s">
        <v>278</v>
      </c>
      <c r="Q103" s="2"/>
      <c r="R103" s="2"/>
      <c r="S103" s="2"/>
      <c r="T103" s="8"/>
      <c r="U103" s="2"/>
      <c r="AD103" s="2"/>
      <c r="AE103" s="2"/>
      <c r="AF103" s="2"/>
    </row>
    <row r="104" spans="1:32">
      <c r="A104" t="s">
        <v>283</v>
      </c>
      <c r="C104" s="37">
        <f t="shared" si="20"/>
        <v>6.8537468563206805E-2</v>
      </c>
      <c r="D104" s="35">
        <v>35</v>
      </c>
      <c r="E104" s="81" t="s">
        <v>713</v>
      </c>
      <c r="F104" s="81" t="s">
        <v>713</v>
      </c>
      <c r="G104" s="81" t="s">
        <v>713</v>
      </c>
      <c r="H104" s="81" t="s">
        <v>713</v>
      </c>
      <c r="I104" s="81" t="s">
        <v>713</v>
      </c>
      <c r="J104" s="81" t="s">
        <v>713</v>
      </c>
      <c r="K104" s="29"/>
      <c r="M104" s="94" t="s">
        <v>344</v>
      </c>
      <c r="N104" s="2"/>
      <c r="P104" s="94" t="s">
        <v>279</v>
      </c>
      <c r="Q104" s="2"/>
      <c r="R104" s="2"/>
      <c r="S104" s="2"/>
      <c r="T104" s="32" t="s">
        <v>797</v>
      </c>
      <c r="U104" s="2"/>
      <c r="AD104" s="2"/>
      <c r="AE104" s="2"/>
      <c r="AF104" s="2"/>
    </row>
    <row r="105" spans="1:32">
      <c r="C105" s="37">
        <f t="shared" si="20"/>
        <v>6.409401930243315E-2</v>
      </c>
      <c r="D105" s="35">
        <v>40</v>
      </c>
      <c r="E105" s="81" t="s">
        <v>713</v>
      </c>
      <c r="F105" s="81" t="s">
        <v>713</v>
      </c>
      <c r="G105" s="81" t="s">
        <v>713</v>
      </c>
      <c r="H105" s="81" t="s">
        <v>713</v>
      </c>
      <c r="I105" s="81" t="s">
        <v>713</v>
      </c>
      <c r="J105" s="81" t="s">
        <v>713</v>
      </c>
      <c r="K105" s="29"/>
      <c r="N105" s="94" t="s">
        <v>277</v>
      </c>
      <c r="Q105" s="94" t="s">
        <v>280</v>
      </c>
      <c r="R105" s="2"/>
      <c r="S105" s="2"/>
      <c r="T105" s="2" t="s">
        <v>421</v>
      </c>
      <c r="U105" s="2"/>
      <c r="AD105" s="2"/>
      <c r="AE105" s="2"/>
      <c r="AF105" s="2"/>
    </row>
    <row r="106" spans="1:32">
      <c r="B106" s="83">
        <f>C106</f>
        <v>5.9162775853741009E-2</v>
      </c>
      <c r="C106" s="37">
        <f t="shared" si="20"/>
        <v>5.9162775853741009E-2</v>
      </c>
      <c r="D106" s="35">
        <v>45</v>
      </c>
      <c r="E106" s="62">
        <f>$G$169</f>
        <v>2.3036514847403282</v>
      </c>
      <c r="F106" s="62">
        <f ca="1">Tabelle4!$G$169</f>
        <v>10.094658890226015</v>
      </c>
      <c r="G106" s="62">
        <f ca="1">$G$220</f>
        <v>4.4603549115606143</v>
      </c>
      <c r="H106" s="62">
        <f ca="1">Tabelle4!$G$220</f>
        <v>20.22271455674678</v>
      </c>
      <c r="I106" s="62">
        <f ca="1">$G$250</f>
        <v>5.035395487868243</v>
      </c>
      <c r="J106" s="62">
        <f ca="1">Tabelle4!$G$250</f>
        <v>22.535423479839324</v>
      </c>
      <c r="K106" s="29"/>
      <c r="L106" s="101">
        <f>$F$87*$C106*E106</f>
        <v>4.0887124931048915E-2</v>
      </c>
      <c r="M106" s="101">
        <f>$F$88*$C106*G106</f>
        <v>5.2777395572158686E-2</v>
      </c>
      <c r="N106" s="101">
        <f>$F$89*$C106*I106</f>
        <v>7.4476993645921932E-2</v>
      </c>
      <c r="O106" s="101">
        <f>$F$87*$C106*F106</f>
        <v>0.17916841237272471</v>
      </c>
      <c r="P106" s="101">
        <f>$F$88*$C106*H106</f>
        <v>0.23928638569499905</v>
      </c>
      <c r="Q106" s="101">
        <f>$F$89*$C106*J106</f>
        <v>0.3333145520267165</v>
      </c>
      <c r="R106" s="55" t="s">
        <v>479</v>
      </c>
      <c r="S106" s="2"/>
      <c r="T106" s="2" t="s">
        <v>589</v>
      </c>
      <c r="U106" s="2"/>
      <c r="AD106" s="2"/>
      <c r="AE106" s="2"/>
      <c r="AF106" s="2"/>
    </row>
    <row r="107" spans="1:32">
      <c r="B107" s="83">
        <f t="shared" ref="B107:B114" si="21">C107</f>
        <v>5.3781267957341124E-2</v>
      </c>
      <c r="C107" s="37">
        <f t="shared" si="20"/>
        <v>5.3781267957341124E-2</v>
      </c>
      <c r="D107" s="35">
        <v>50</v>
      </c>
      <c r="E107" s="62">
        <f>$G$290</f>
        <v>2.2859794131488798</v>
      </c>
      <c r="F107" s="62">
        <f ca="1">Tabelle4!$G$290</f>
        <v>10.09678635224094</v>
      </c>
      <c r="G107" s="62">
        <f ca="1">$G$334</f>
        <v>3.321871259387251</v>
      </c>
      <c r="H107" s="62">
        <f ca="1">Tabelle4!$G$334</f>
        <v>15.196193141194328</v>
      </c>
      <c r="I107" s="62">
        <f ca="1">$G$364</f>
        <v>3.385396657738454</v>
      </c>
      <c r="J107" s="62">
        <f ca="1">Tabelle4!$G$364</f>
        <v>15.242746496249538</v>
      </c>
      <c r="K107" s="55"/>
      <c r="L107" s="101">
        <f t="shared" ref="L107:L114" si="22">$F$87*$C107*E107</f>
        <v>3.6882861409057589E-2</v>
      </c>
      <c r="M107" s="101">
        <f t="shared" ref="M107:M114" si="23">$F$88*$C107*G107</f>
        <v>3.5730889664179193E-2</v>
      </c>
      <c r="N107" s="101">
        <f t="shared" ref="N107:N114" si="24">$F$89*$C107*I107</f>
        <v>4.5517731197929713E-2</v>
      </c>
      <c r="O107" s="101">
        <f t="shared" ref="O107:O114" si="25">$F$87*$C107*F107</f>
        <v>0.16290539169536844</v>
      </c>
      <c r="P107" s="101">
        <f t="shared" ref="P107:P114" si="26">$F$88*$C107*H107</f>
        <v>0.16345410705161631</v>
      </c>
      <c r="Q107" s="101">
        <f t="shared" ref="Q107:Q114" si="27">$F$89*$C107*J107</f>
        <v>0.20494355843015474</v>
      </c>
      <c r="R107" s="55" t="s">
        <v>479</v>
      </c>
      <c r="T107" s="2" t="s">
        <v>590</v>
      </c>
      <c r="U107" s="2"/>
      <c r="AD107" s="2"/>
      <c r="AE107" s="2"/>
      <c r="AF107" s="2"/>
    </row>
    <row r="108" spans="1:32">
      <c r="B108" s="83">
        <f t="shared" si="21"/>
        <v>4.7990452137768411E-2</v>
      </c>
      <c r="C108" s="37">
        <f t="shared" si="20"/>
        <v>4.7990452137768411E-2</v>
      </c>
      <c r="D108" s="35">
        <v>55</v>
      </c>
      <c r="E108" s="62">
        <f>$G$404</f>
        <v>1.7362438157575752</v>
      </c>
      <c r="F108" s="62">
        <f ca="1">Tabelle4!$G$404</f>
        <v>7.6616714158992067</v>
      </c>
      <c r="G108" s="62">
        <f ca="1">$G$448</f>
        <v>2.869182639401572</v>
      </c>
      <c r="H108" s="62">
        <f ca="1">Tabelle4!$G$448</f>
        <v>13.188127718151293</v>
      </c>
      <c r="I108" s="62">
        <f ca="1">$G$478</f>
        <v>3.3141844367573867</v>
      </c>
      <c r="J108" s="62">
        <f ca="1">Tabelle4!$G$478</f>
        <v>14.944965287784726</v>
      </c>
      <c r="K108" s="2"/>
      <c r="L108" s="101">
        <f t="shared" si="22"/>
        <v>2.4996937721883092E-2</v>
      </c>
      <c r="M108" s="101">
        <f t="shared" si="23"/>
        <v>2.7538674426143439E-2</v>
      </c>
      <c r="N108" s="101">
        <f t="shared" si="24"/>
        <v>3.9762302396985583E-2</v>
      </c>
      <c r="O108" s="101">
        <f t="shared" si="25"/>
        <v>0.11030612261400576</v>
      </c>
      <c r="P108" s="101">
        <f t="shared" si="26"/>
        <v>0.12658084240894332</v>
      </c>
      <c r="Q108" s="101">
        <f t="shared" si="27"/>
        <v>0.17930391033601079</v>
      </c>
      <c r="R108" s="55" t="s">
        <v>479</v>
      </c>
      <c r="T108" s="2" t="s">
        <v>591</v>
      </c>
      <c r="U108" s="2"/>
      <c r="AD108" s="2"/>
      <c r="AE108" s="2"/>
      <c r="AF108" s="2"/>
    </row>
    <row r="109" spans="1:32">
      <c r="B109" s="83">
        <f t="shared" si="21"/>
        <v>4.1834400000000008E-2</v>
      </c>
      <c r="C109" s="37">
        <f t="shared" si="20"/>
        <v>4.1834400000000008E-2</v>
      </c>
      <c r="D109" s="35">
        <v>60</v>
      </c>
      <c r="E109" s="62">
        <f>$G$518</f>
        <v>3.1010340823252704</v>
      </c>
      <c r="F109" s="62">
        <f ca="1">Tabelle4!$G$518</f>
        <v>14.049317395715434</v>
      </c>
      <c r="G109" s="62">
        <f ca="1">$G$562</f>
        <v>3.4244767891988772</v>
      </c>
      <c r="H109" s="62">
        <f ca="1">Tabelle4!$G$562</f>
        <v>15.693670966098637</v>
      </c>
      <c r="I109" s="62">
        <f ca="1">$G$592</f>
        <v>3.2388728284316244</v>
      </c>
      <c r="J109" s="62">
        <f ca="1">Tabelle4!$G$592</f>
        <v>14.634759451301818</v>
      </c>
      <c r="K109" s="2"/>
      <c r="L109" s="101">
        <f t="shared" si="22"/>
        <v>3.8918970064088496E-2</v>
      </c>
      <c r="M109" s="101">
        <f t="shared" si="23"/>
        <v>2.8652186358012307E-2</v>
      </c>
      <c r="N109" s="101">
        <f t="shared" si="24"/>
        <v>3.3874075363434994E-2</v>
      </c>
      <c r="O109" s="101">
        <f t="shared" si="25"/>
        <v>0.17632342909779536</v>
      </c>
      <c r="P109" s="101">
        <f t="shared" si="26"/>
        <v>0.13130706173283138</v>
      </c>
      <c r="Q109" s="101">
        <f t="shared" si="27"/>
        <v>0.15305909519738523</v>
      </c>
      <c r="R109" s="55" t="s">
        <v>479</v>
      </c>
      <c r="S109" s="35"/>
      <c r="T109" s="2" t="s">
        <v>450</v>
      </c>
      <c r="U109" s="2"/>
      <c r="AD109" s="2"/>
      <c r="AE109" s="2"/>
      <c r="AF109" s="2"/>
    </row>
    <row r="110" spans="1:32">
      <c r="B110" s="83">
        <f t="shared" si="21"/>
        <v>3.5359962817930232E-2</v>
      </c>
      <c r="C110" s="37">
        <f t="shared" si="20"/>
        <v>3.5359962817930232E-2</v>
      </c>
      <c r="D110" s="35">
        <v>65</v>
      </c>
      <c r="E110" s="62">
        <f>$G$632</f>
        <v>3.5052289939353614</v>
      </c>
      <c r="F110" s="62">
        <f ca="1">Tabelle4!$G$632</f>
        <v>15.959915953953612</v>
      </c>
      <c r="G110" s="62">
        <f ca="1">$G$676</f>
        <v>3.451686946325708</v>
      </c>
      <c r="H110" s="62">
        <f ca="1">Tabelle4!$G$676</f>
        <v>15.735056613334507</v>
      </c>
      <c r="I110" s="62">
        <f ca="1">$G$706</f>
        <v>3.160104016334742</v>
      </c>
      <c r="J110" s="62">
        <f ca="1">Tabelle4!$G$706</f>
        <v>14.344094194408569</v>
      </c>
      <c r="K110" s="2"/>
      <c r="L110" s="101">
        <f t="shared" si="22"/>
        <v>3.7183430068165609E-2</v>
      </c>
      <c r="M110" s="101">
        <f t="shared" si="23"/>
        <v>2.4410304416242437E-2</v>
      </c>
      <c r="N110" s="101">
        <f t="shared" si="24"/>
        <v>2.7935290129597116E-2</v>
      </c>
      <c r="O110" s="101">
        <f t="shared" si="25"/>
        <v>0.16930261041272737</v>
      </c>
      <c r="P110" s="101">
        <f t="shared" si="26"/>
        <v>0.11127820335710707</v>
      </c>
      <c r="Q110" s="101">
        <f t="shared" si="27"/>
        <v>0.12680165934279397</v>
      </c>
      <c r="R110" s="55" t="s">
        <v>479</v>
      </c>
      <c r="S110" s="35"/>
      <c r="T110" s="2" t="s">
        <v>593</v>
      </c>
      <c r="U110" s="2"/>
      <c r="AD110" s="2"/>
      <c r="AE110" s="2"/>
      <c r="AF110" s="2"/>
    </row>
    <row r="111" spans="1:32">
      <c r="B111" s="83">
        <f t="shared" si="21"/>
        <v>2.8616414967886722E-2</v>
      </c>
      <c r="C111" s="37">
        <f t="shared" si="20"/>
        <v>2.8616414967886722E-2</v>
      </c>
      <c r="D111" s="35">
        <v>70</v>
      </c>
      <c r="E111" s="62">
        <f>$G$746</f>
        <v>3.4196507606920932</v>
      </c>
      <c r="F111" s="62">
        <f ca="1">Tabelle4!$G$746</f>
        <v>15.650348435001888</v>
      </c>
      <c r="G111" s="62">
        <f ca="1">$G$790</f>
        <v>3.3708580049315628</v>
      </c>
      <c r="H111" s="62">
        <f ca="1">Tabelle4!$G$790</f>
        <v>15.451852784579557</v>
      </c>
      <c r="I111" s="62">
        <f ca="1">$G$820</f>
        <v>3.0745257830915307</v>
      </c>
      <c r="J111" s="62">
        <f ca="1">Tabelle4!$G$820</f>
        <v>14.034526675456902</v>
      </c>
      <c r="K111" s="2"/>
      <c r="L111" s="101">
        <f t="shared" si="22"/>
        <v>2.9357443563964327E-2</v>
      </c>
      <c r="M111" s="101">
        <f t="shared" si="23"/>
        <v>1.9292374293388873E-2</v>
      </c>
      <c r="N111" s="101">
        <f t="shared" si="24"/>
        <v>2.1995476409603532E-2</v>
      </c>
      <c r="O111" s="101">
        <f t="shared" si="25"/>
        <v>0.13435705956240915</v>
      </c>
      <c r="P111" s="101">
        <f t="shared" si="26"/>
        <v>8.8435326261244923E-2</v>
      </c>
      <c r="Q111" s="101">
        <f t="shared" si="27"/>
        <v>0.10040445980568759</v>
      </c>
      <c r="R111" s="55" t="s">
        <v>479</v>
      </c>
      <c r="S111" s="35"/>
      <c r="T111" s="95" t="s">
        <v>594</v>
      </c>
      <c r="U111" s="2"/>
      <c r="W111" s="95">
        <v>0.19</v>
      </c>
      <c r="X111" s="96" t="s">
        <v>497</v>
      </c>
      <c r="AD111" s="2"/>
      <c r="AE111" s="2"/>
      <c r="AF111" s="2"/>
    </row>
    <row r="112" spans="1:32">
      <c r="B112" s="83">
        <f t="shared" si="21"/>
        <v>2.1655078920873788E-2</v>
      </c>
      <c r="C112" s="37">
        <f t="shared" si="20"/>
        <v>2.1655078920873788E-2</v>
      </c>
      <c r="D112" s="35">
        <v>75</v>
      </c>
      <c r="E112" s="62">
        <f>$G$860</f>
        <v>2.8829029701304307</v>
      </c>
      <c r="F112" s="62">
        <f ca="1">Tabelle4!$G$860</f>
        <v>13.257017338350238</v>
      </c>
      <c r="G112" s="62">
        <f ca="1">$G$904</f>
        <v>2.9503419829014206</v>
      </c>
      <c r="H112" s="62">
        <f ca="1">Tabelle4!$G$904</f>
        <v>13.607440306097772</v>
      </c>
      <c r="I112" s="62">
        <f ca="1">$G$934</f>
        <v>3.0079333641545531</v>
      </c>
      <c r="J112" s="62">
        <f ca="1">Tabelle4!$G$934</f>
        <v>13.842390302872275</v>
      </c>
      <c r="K112" s="2"/>
      <c r="L112" s="101">
        <f t="shared" si="22"/>
        <v>1.8728847401818776E-2</v>
      </c>
      <c r="M112" s="101">
        <f t="shared" si="23"/>
        <v>1.2777977696659506E-2</v>
      </c>
      <c r="N112" s="101">
        <f t="shared" si="24"/>
        <v>1.6284258597374059E-2</v>
      </c>
      <c r="O112" s="101">
        <f t="shared" si="25"/>
        <v>8.6124527015209965E-2</v>
      </c>
      <c r="P112" s="101">
        <f t="shared" si="26"/>
        <v>5.8934038747925244E-2</v>
      </c>
      <c r="Q112" s="101">
        <f t="shared" si="27"/>
        <v>7.4939513615559283E-2</v>
      </c>
      <c r="R112" s="55" t="s">
        <v>479</v>
      </c>
      <c r="S112" s="35"/>
      <c r="U112" s="2"/>
      <c r="AD112" s="2"/>
      <c r="AE112" s="2"/>
      <c r="AF112" s="2"/>
    </row>
    <row r="113" spans="1:32">
      <c r="B113" s="83">
        <f t="shared" si="21"/>
        <v>1.4528934647578868E-2</v>
      </c>
      <c r="C113" s="37">
        <f t="shared" si="20"/>
        <v>1.4528934647578868E-2</v>
      </c>
      <c r="D113" s="35">
        <v>80</v>
      </c>
      <c r="E113" s="62">
        <f>$G$974</f>
        <v>2.8156359032169007</v>
      </c>
      <c r="F113" s="62">
        <f ca="1">Tabelle4!$G$974</f>
        <v>13.179709835436086</v>
      </c>
      <c r="G113" s="62">
        <f ca="1">$G$1018</f>
        <v>2.8891424013468168</v>
      </c>
      <c r="H113" s="62">
        <f ca="1">Tabelle4!$G$1018</f>
        <v>13.567884359155585</v>
      </c>
      <c r="I113" s="62">
        <f ca="1">$G$1048</f>
        <v>2.94066629724108</v>
      </c>
      <c r="J113" s="62">
        <f ca="1">Tabelle4!$G$1048</f>
        <v>13.765082799958122</v>
      </c>
      <c r="K113" s="2"/>
      <c r="L113" s="101">
        <f t="shared" si="22"/>
        <v>1.2272457008764514E-2</v>
      </c>
      <c r="M113" s="101">
        <f t="shared" si="23"/>
        <v>8.3952322273433966E-3</v>
      </c>
      <c r="N113" s="101">
        <f t="shared" si="24"/>
        <v>1.0681187113238346E-2</v>
      </c>
      <c r="O113" s="101">
        <f t="shared" si="25"/>
        <v>5.7446142861930991E-2</v>
      </c>
      <c r="P113" s="101">
        <f t="shared" si="26"/>
        <v>3.9425381032015802E-2</v>
      </c>
      <c r="Q113" s="101">
        <f t="shared" si="27"/>
        <v>4.9997997104775871E-2</v>
      </c>
      <c r="R113" s="55" t="s">
        <v>479</v>
      </c>
      <c r="S113" s="35"/>
      <c r="T113" s="2"/>
      <c r="U113" s="2"/>
      <c r="AD113" s="2"/>
      <c r="AE113" s="2"/>
      <c r="AF113" s="2"/>
    </row>
    <row r="114" spans="1:32">
      <c r="B114" s="83">
        <f t="shared" si="21"/>
        <v>7.2922164088052594E-3</v>
      </c>
      <c r="C114" s="37">
        <f t="shared" si="20"/>
        <v>7.2922164088052594E-3</v>
      </c>
      <c r="D114" s="35">
        <v>85</v>
      </c>
      <c r="E114" s="62">
        <f>$G$1088</f>
        <v>2.3468112591127692</v>
      </c>
      <c r="F114" s="62">
        <f ca="1">Tabelle4!$G$1088</f>
        <v>11.4390654247008</v>
      </c>
      <c r="G114" s="62">
        <f ca="1">$G$1132</f>
        <v>2.5328278991557909</v>
      </c>
      <c r="H114" s="62">
        <f ca="1">Tabelle4!$G$1132</f>
        <v>12.370618747856042</v>
      </c>
      <c r="I114" s="62">
        <f ca="1">$G$1162</f>
        <v>2.9164059491399144</v>
      </c>
      <c r="J114" s="62">
        <f ca="1">Tabelle4!$G$1162</f>
        <v>14.105819655779044</v>
      </c>
      <c r="K114" s="2"/>
      <c r="L114" s="101">
        <f t="shared" si="22"/>
        <v>5.13403667162132E-3</v>
      </c>
      <c r="M114" s="101">
        <f t="shared" si="23"/>
        <v>3.6939858333807224E-3</v>
      </c>
      <c r="N114" s="101">
        <f t="shared" si="24"/>
        <v>5.3167658292638401E-3</v>
      </c>
      <c r="O114" s="101">
        <f t="shared" si="25"/>
        <v>2.5024842177420025E-2</v>
      </c>
      <c r="P114" s="101">
        <f t="shared" si="26"/>
        <v>1.8041845804037962E-2</v>
      </c>
      <c r="Q114" s="101">
        <f t="shared" si="27"/>
        <v>2.5715672388379924E-2</v>
      </c>
      <c r="R114" s="55" t="s">
        <v>479</v>
      </c>
      <c r="S114" s="35"/>
      <c r="T114" s="2"/>
      <c r="U114" s="2"/>
      <c r="AD114" s="2"/>
      <c r="AE114" s="2"/>
      <c r="AF114" s="2"/>
    </row>
    <row r="115" spans="1:32">
      <c r="A115" t="s">
        <v>559</v>
      </c>
      <c r="B115" s="38">
        <f>SUM(B106:B114)</f>
        <v>0.31022150371192547</v>
      </c>
      <c r="C115" s="38">
        <f>SUM(C97:C114)</f>
        <v>0.99999968945929019</v>
      </c>
      <c r="E115" s="2"/>
      <c r="F115" s="2"/>
      <c r="G115" s="2"/>
      <c r="I115" s="32"/>
      <c r="J115" s="32"/>
      <c r="K115" s="32" t="s">
        <v>559</v>
      </c>
      <c r="L115" s="32">
        <f t="shared" ref="L115:Q115" si="28">SUM(L106:L114)</f>
        <v>0.24436210884041262</v>
      </c>
      <c r="M115" s="32">
        <f t="shared" si="28"/>
        <v>0.21326902048750856</v>
      </c>
      <c r="N115" s="32">
        <f t="shared" si="28"/>
        <v>0.27584408068334909</v>
      </c>
      <c r="O115" s="32">
        <f t="shared" si="28"/>
        <v>1.1009585378095916</v>
      </c>
      <c r="P115" s="32">
        <f t="shared" si="28"/>
        <v>0.97674319209072102</v>
      </c>
      <c r="Q115" s="32">
        <f t="shared" si="28"/>
        <v>1.248480418247464</v>
      </c>
      <c r="R115" s="32" t="s">
        <v>479</v>
      </c>
      <c r="S115" s="35"/>
      <c r="T115" s="2"/>
      <c r="U115" s="2"/>
      <c r="AD115" s="2"/>
      <c r="AE115" s="2"/>
      <c r="AF115" s="2"/>
    </row>
    <row r="116" spans="1:32" ht="18.75">
      <c r="E116" s="41"/>
      <c r="G116" s="42"/>
      <c r="H116" s="42"/>
      <c r="I116" s="41"/>
      <c r="J116" s="41"/>
      <c r="K116" s="41"/>
      <c r="R116" s="2"/>
      <c r="S116" s="2"/>
      <c r="T116" s="2"/>
      <c r="U116" s="2"/>
      <c r="AD116" s="2"/>
      <c r="AE116" s="2"/>
      <c r="AF116" s="2"/>
    </row>
    <row r="117" spans="1:32">
      <c r="C117" s="3"/>
      <c r="D117" s="35"/>
      <c r="G117" s="2"/>
      <c r="H117" s="2"/>
      <c r="I117" s="2"/>
      <c r="K117" s="2"/>
      <c r="L117" s="21"/>
      <c r="M117" s="2"/>
      <c r="N117" s="2"/>
      <c r="O117" s="2"/>
      <c r="P117" s="2"/>
      <c r="Q117" s="2"/>
      <c r="R117" s="2"/>
      <c r="S117" s="2"/>
      <c r="T117" s="2"/>
      <c r="U117" s="2"/>
      <c r="AD117" s="2"/>
      <c r="AE117" s="2"/>
      <c r="AF117" s="2"/>
    </row>
    <row r="118" spans="1:32">
      <c r="A118" s="20" t="s">
        <v>622</v>
      </c>
      <c r="C118" s="3"/>
      <c r="D118" s="20" t="s">
        <v>621</v>
      </c>
      <c r="F118" s="20" t="s">
        <v>739</v>
      </c>
      <c r="G118" s="2"/>
      <c r="H118" s="2"/>
      <c r="I118" s="2"/>
      <c r="K118" s="2"/>
      <c r="L118" s="2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>
      <c r="D119" t="s">
        <v>619</v>
      </c>
      <c r="F119" t="s">
        <v>626</v>
      </c>
      <c r="G119" s="2"/>
      <c r="H119" s="2"/>
      <c r="I119" s="2"/>
      <c r="K119" s="2"/>
      <c r="L119" s="2"/>
      <c r="M119" s="2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>
      <c r="D120" s="16" t="s">
        <v>620</v>
      </c>
      <c r="F120" s="16" t="s">
        <v>625</v>
      </c>
      <c r="G120" s="2"/>
      <c r="H120" s="2"/>
      <c r="I120" s="2"/>
      <c r="K120" s="2"/>
      <c r="L120" s="2"/>
      <c r="M120" s="2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>
      <c r="D121" s="39" t="s">
        <v>623</v>
      </c>
      <c r="E121" s="39"/>
      <c r="F121" s="39" t="s">
        <v>624</v>
      </c>
      <c r="G121" s="2"/>
      <c r="H121" s="2"/>
      <c r="I121" s="2"/>
      <c r="K121" s="2"/>
      <c r="L121" s="2"/>
      <c r="M121" s="2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>
      <c r="A122" t="s">
        <v>405</v>
      </c>
      <c r="D122" s="39"/>
      <c r="E122" s="39"/>
      <c r="F122" s="39"/>
      <c r="G122" s="2"/>
      <c r="H122" s="2"/>
      <c r="I122" s="2"/>
      <c r="J122" s="80"/>
      <c r="K122" s="2"/>
      <c r="L122" s="2"/>
      <c r="M122" s="2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>
      <c r="B123" t="s">
        <v>404</v>
      </c>
      <c r="D123" s="39"/>
      <c r="E123" s="39"/>
      <c r="F123" s="39"/>
      <c r="G123" s="2"/>
      <c r="H123" s="2"/>
      <c r="I123" s="2"/>
      <c r="K123" s="2"/>
      <c r="L123" s="2"/>
      <c r="M123" s="2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>
      <c r="D124" s="39"/>
      <c r="E124" s="39"/>
      <c r="F124" s="39"/>
      <c r="G124" s="2"/>
      <c r="H124" s="2"/>
      <c r="I124" s="2"/>
      <c r="K124" s="2"/>
      <c r="L124" s="2"/>
      <c r="M124" s="21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>
      <c r="A125" s="3" t="s">
        <v>407</v>
      </c>
      <c r="B125" s="16"/>
      <c r="E125" s="12"/>
      <c r="F125" s="6"/>
      <c r="G125" s="32"/>
      <c r="H125" s="2"/>
      <c r="I125" s="2"/>
      <c r="K125" s="10"/>
      <c r="L125" s="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8.75">
      <c r="A126" s="85" t="s">
        <v>501</v>
      </c>
      <c r="B126" s="30" t="s">
        <v>609</v>
      </c>
      <c r="H126" s="4" t="s">
        <v>484</v>
      </c>
      <c r="I126" s="4" t="s">
        <v>486</v>
      </c>
      <c r="J126" s="4" t="s">
        <v>485</v>
      </c>
      <c r="K126" s="4" t="s">
        <v>487</v>
      </c>
      <c r="L126" s="4" t="s">
        <v>488</v>
      </c>
      <c r="M126" s="4" t="s">
        <v>489</v>
      </c>
      <c r="N126" s="4" t="s">
        <v>490</v>
      </c>
      <c r="O126" s="4" t="s">
        <v>491</v>
      </c>
      <c r="P126" s="4" t="s">
        <v>494</v>
      </c>
      <c r="Q126" s="4" t="s">
        <v>492</v>
      </c>
      <c r="R126" s="4" t="s">
        <v>495</v>
      </c>
      <c r="S126" s="4" t="s">
        <v>493</v>
      </c>
      <c r="T126" s="4" t="s">
        <v>515</v>
      </c>
      <c r="U126" s="4" t="s">
        <v>517</v>
      </c>
      <c r="V126" s="4" t="s">
        <v>518</v>
      </c>
      <c r="W126" s="4" t="s">
        <v>516</v>
      </c>
      <c r="X126" s="4" t="s">
        <v>519</v>
      </c>
      <c r="Y126" s="4" t="s">
        <v>520</v>
      </c>
      <c r="Z126" s="4" t="s">
        <v>521</v>
      </c>
      <c r="AA126" s="4" t="s">
        <v>522</v>
      </c>
      <c r="AB126" s="4" t="s">
        <v>523</v>
      </c>
      <c r="AC126" s="4" t="s">
        <v>524</v>
      </c>
      <c r="AD126" s="4" t="s">
        <v>525</v>
      </c>
      <c r="AE126" s="4" t="s">
        <v>526</v>
      </c>
      <c r="AF126" s="2"/>
    </row>
    <row r="127" spans="1:32" s="27" customFormat="1">
      <c r="A127" s="12" t="s">
        <v>561</v>
      </c>
      <c r="B127" s="14"/>
      <c r="C127" s="14"/>
      <c r="D127" s="160" t="s">
        <v>855</v>
      </c>
      <c r="E127" s="22"/>
      <c r="F127" s="161"/>
      <c r="G127" s="10">
        <f>SUM(H127:AE127)/48</f>
        <v>308.79408317756833</v>
      </c>
      <c r="H127" s="10">
        <f>H$63</f>
        <v>63.917870910841707</v>
      </c>
      <c r="I127" s="10">
        <f t="shared" ref="I127:AE127" si="29">I$63</f>
        <v>189.5408091620528</v>
      </c>
      <c r="J127" s="10">
        <f t="shared" si="29"/>
        <v>311.69105485023806</v>
      </c>
      <c r="K127" s="10">
        <f t="shared" si="29"/>
        <v>428.54806817081112</v>
      </c>
      <c r="L127" s="10">
        <f t="shared" si="29"/>
        <v>538.07997102798959</v>
      </c>
      <c r="M127" s="10">
        <f t="shared" si="29"/>
        <v>638.39457825518718</v>
      </c>
      <c r="N127" s="10">
        <f t="shared" si="29"/>
        <v>727.83609874343028</v>
      </c>
      <c r="O127" s="10">
        <f t="shared" si="29"/>
        <v>804.66012234390087</v>
      </c>
      <c r="P127" s="10">
        <f t="shared" si="29"/>
        <v>867.86096213658595</v>
      </c>
      <c r="Q127" s="10">
        <f t="shared" si="29"/>
        <v>926.69353082303905</v>
      </c>
      <c r="R127" s="10">
        <f t="shared" si="29"/>
        <v>948.73950708844575</v>
      </c>
      <c r="S127" s="10">
        <f t="shared" si="29"/>
        <v>965.09542274911848</v>
      </c>
      <c r="T127" s="10">
        <f t="shared" si="29"/>
        <v>965.09542274911848</v>
      </c>
      <c r="U127" s="10">
        <f t="shared" si="29"/>
        <v>948.73950708844575</v>
      </c>
      <c r="V127" s="10">
        <f t="shared" si="29"/>
        <v>926.69353082303905</v>
      </c>
      <c r="W127" s="10">
        <f t="shared" si="29"/>
        <v>867.86096213658595</v>
      </c>
      <c r="X127" s="10">
        <f t="shared" si="29"/>
        <v>804.66012234390087</v>
      </c>
      <c r="Y127" s="10">
        <f t="shared" si="29"/>
        <v>727.83609874343028</v>
      </c>
      <c r="Z127" s="10">
        <f t="shared" si="29"/>
        <v>638.39457825518718</v>
      </c>
      <c r="AA127" s="10">
        <f t="shared" si="29"/>
        <v>538.07997102798959</v>
      </c>
      <c r="AB127" s="10">
        <f t="shared" si="29"/>
        <v>428.54806817081112</v>
      </c>
      <c r="AC127" s="10">
        <f t="shared" si="29"/>
        <v>311.69105485023806</v>
      </c>
      <c r="AD127" s="10">
        <f t="shared" si="29"/>
        <v>189.5408091620528</v>
      </c>
      <c r="AE127" s="10">
        <f t="shared" si="29"/>
        <v>63.917870910841707</v>
      </c>
      <c r="AF127" s="55"/>
    </row>
    <row r="128" spans="1:32">
      <c r="A128" s="3" t="s">
        <v>722</v>
      </c>
      <c r="G128" s="3" t="s">
        <v>829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2"/>
    </row>
    <row r="129" spans="1:33">
      <c r="A129" s="20" t="s">
        <v>824</v>
      </c>
      <c r="B129" s="11"/>
      <c r="C129" s="11"/>
      <c r="D129" t="s">
        <v>856</v>
      </c>
      <c r="E129" s="12"/>
      <c r="F129" s="18"/>
      <c r="G129" s="19">
        <f>SUM(H129:AE129)/48</f>
        <v>30.879408317756837</v>
      </c>
      <c r="H129" s="2">
        <f>H$127*$O$20</f>
        <v>6.3917870910841712</v>
      </c>
      <c r="I129" s="2">
        <f t="shared" ref="I129:AE129" si="30">I$127*$O$20</f>
        <v>18.954080916205282</v>
      </c>
      <c r="J129" s="2">
        <f t="shared" si="30"/>
        <v>31.169105485023806</v>
      </c>
      <c r="K129" s="2">
        <f t="shared" si="30"/>
        <v>42.854806817081112</v>
      </c>
      <c r="L129" s="2">
        <f t="shared" si="30"/>
        <v>53.807997102798964</v>
      </c>
      <c r="M129" s="2">
        <f t="shared" si="30"/>
        <v>63.839457825518721</v>
      </c>
      <c r="N129" s="2">
        <f t="shared" si="30"/>
        <v>72.783609874343028</v>
      </c>
      <c r="O129" s="2">
        <f t="shared" si="30"/>
        <v>80.466012234390092</v>
      </c>
      <c r="P129" s="2">
        <f t="shared" si="30"/>
        <v>86.786096213658595</v>
      </c>
      <c r="Q129" s="2">
        <f t="shared" si="30"/>
        <v>92.669353082303914</v>
      </c>
      <c r="R129" s="2">
        <f t="shared" si="30"/>
        <v>94.873950708844575</v>
      </c>
      <c r="S129" s="2">
        <f t="shared" si="30"/>
        <v>96.509542274911851</v>
      </c>
      <c r="T129" s="2">
        <f t="shared" si="30"/>
        <v>96.509542274911851</v>
      </c>
      <c r="U129" s="2">
        <f t="shared" si="30"/>
        <v>94.873950708844575</v>
      </c>
      <c r="V129" s="2">
        <f t="shared" si="30"/>
        <v>92.669353082303914</v>
      </c>
      <c r="W129" s="2">
        <f t="shared" si="30"/>
        <v>86.786096213658595</v>
      </c>
      <c r="X129" s="2">
        <f t="shared" si="30"/>
        <v>80.466012234390092</v>
      </c>
      <c r="Y129" s="2">
        <f t="shared" si="30"/>
        <v>72.783609874343028</v>
      </c>
      <c r="Z129" s="2">
        <f t="shared" si="30"/>
        <v>63.839457825518721</v>
      </c>
      <c r="AA129" s="2">
        <f t="shared" si="30"/>
        <v>53.807997102798964</v>
      </c>
      <c r="AB129" s="2">
        <f t="shared" si="30"/>
        <v>42.854806817081112</v>
      </c>
      <c r="AC129" s="2">
        <f t="shared" si="30"/>
        <v>31.169105485023806</v>
      </c>
      <c r="AD129" s="2">
        <f t="shared" si="30"/>
        <v>18.954080916205282</v>
      </c>
      <c r="AE129" s="2">
        <f t="shared" si="30"/>
        <v>6.3917870910841712</v>
      </c>
      <c r="AF129" s="2"/>
    </row>
    <row r="130" spans="1:33">
      <c r="A130" s="20"/>
      <c r="B130" s="5" t="s">
        <v>415</v>
      </c>
      <c r="C130" s="11"/>
      <c r="D130" t="s">
        <v>416</v>
      </c>
      <c r="E130" s="12"/>
      <c r="F130" s="18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3">
      <c r="A131" s="20" t="s">
        <v>825</v>
      </c>
      <c r="D131" t="s">
        <v>857</v>
      </c>
      <c r="G131" s="19">
        <f>SUM(H131:AE131)/24</f>
        <v>365.61213149699984</v>
      </c>
      <c r="H131" s="2">
        <f>$O$24</f>
        <v>365.61213149700001</v>
      </c>
      <c r="I131" s="2">
        <f t="shared" ref="I131:AE131" si="31">$O$24</f>
        <v>365.61213149700001</v>
      </c>
      <c r="J131" s="2">
        <f t="shared" si="31"/>
        <v>365.61213149700001</v>
      </c>
      <c r="K131" s="2">
        <f t="shared" si="31"/>
        <v>365.61213149700001</v>
      </c>
      <c r="L131" s="2">
        <f t="shared" si="31"/>
        <v>365.61213149700001</v>
      </c>
      <c r="M131" s="2">
        <f t="shared" si="31"/>
        <v>365.61213149700001</v>
      </c>
      <c r="N131" s="2">
        <f t="shared" si="31"/>
        <v>365.61213149700001</v>
      </c>
      <c r="O131" s="2">
        <f t="shared" si="31"/>
        <v>365.61213149700001</v>
      </c>
      <c r="P131" s="2">
        <f t="shared" si="31"/>
        <v>365.61213149700001</v>
      </c>
      <c r="Q131" s="2">
        <f t="shared" si="31"/>
        <v>365.61213149700001</v>
      </c>
      <c r="R131" s="2">
        <f t="shared" si="31"/>
        <v>365.61213149700001</v>
      </c>
      <c r="S131" s="2">
        <f t="shared" si="31"/>
        <v>365.61213149700001</v>
      </c>
      <c r="T131" s="2">
        <f t="shared" si="31"/>
        <v>365.61213149700001</v>
      </c>
      <c r="U131" s="2">
        <f t="shared" si="31"/>
        <v>365.61213149700001</v>
      </c>
      <c r="V131" s="2">
        <f t="shared" si="31"/>
        <v>365.61213149700001</v>
      </c>
      <c r="W131" s="2">
        <f t="shared" si="31"/>
        <v>365.61213149700001</v>
      </c>
      <c r="X131" s="2">
        <f t="shared" si="31"/>
        <v>365.61213149700001</v>
      </c>
      <c r="Y131" s="2">
        <f t="shared" si="31"/>
        <v>365.61213149700001</v>
      </c>
      <c r="Z131" s="2">
        <f t="shared" si="31"/>
        <v>365.61213149700001</v>
      </c>
      <c r="AA131" s="2">
        <f t="shared" si="31"/>
        <v>365.61213149700001</v>
      </c>
      <c r="AB131" s="2">
        <f t="shared" si="31"/>
        <v>365.61213149700001</v>
      </c>
      <c r="AC131" s="2">
        <f t="shared" si="31"/>
        <v>365.61213149700001</v>
      </c>
      <c r="AD131" s="2">
        <f t="shared" si="31"/>
        <v>365.61213149700001</v>
      </c>
      <c r="AE131" s="2">
        <f t="shared" si="31"/>
        <v>365.61213149700001</v>
      </c>
      <c r="AF131" s="2"/>
    </row>
    <row r="132" spans="1:33">
      <c r="A132" s="20"/>
      <c r="B132" s="16" t="s">
        <v>738</v>
      </c>
      <c r="G132" s="32">
        <f>G129+G131</f>
        <v>396.49153981475666</v>
      </c>
      <c r="H132" s="3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3">
      <c r="A133" s="22"/>
      <c r="B133" s="16"/>
      <c r="G133" s="32"/>
      <c r="H133" s="3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3">
      <c r="A134" s="3" t="s">
        <v>400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3">
      <c r="A135" s="3"/>
      <c r="B135" t="s">
        <v>716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3">
      <c r="A136" s="3"/>
      <c r="B136" t="s">
        <v>826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3">
      <c r="A137" s="3"/>
      <c r="B137" t="s">
        <v>403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3">
      <c r="A138" s="3"/>
      <c r="B138" t="s">
        <v>401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3">
      <c r="A139" s="3"/>
      <c r="B139" t="s">
        <v>402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3">
      <c r="A140" t="s">
        <v>915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3" s="27" customFormat="1">
      <c r="A141" s="27" t="s">
        <v>913</v>
      </c>
      <c r="G141" s="55"/>
      <c r="H141" s="101">
        <f ca="1">Tabelle3!D$11</f>
        <v>0.19364554037001983</v>
      </c>
      <c r="I141" s="101">
        <f ca="1">Tabelle3!E$11</f>
        <v>7.1420648873324402E-2</v>
      </c>
      <c r="J141" s="101">
        <f ca="1">Tabelle3!F$11</f>
        <v>4.4146358338306324E-2</v>
      </c>
      <c r="K141" s="101">
        <f ca="1">Tabelle3!G$11</f>
        <v>3.2448848339915841E-2</v>
      </c>
      <c r="L141" s="101">
        <f ca="1">Tabelle3!H$11</f>
        <v>2.534012631402046E-2</v>
      </c>
      <c r="M141" s="101">
        <f ca="1">Tabelle3!I$11</f>
        <v>2.1467377726579463E-2</v>
      </c>
      <c r="N141" s="101">
        <f ca="1">Tabelle3!J$11</f>
        <v>1.883152698809655E-2</v>
      </c>
      <c r="O141" s="101">
        <f ca="1">Tabelle3!K$11</f>
        <v>1.6921128337843924E-2</v>
      </c>
      <c r="P141" s="101">
        <f ca="1">Tabelle3!L$11</f>
        <v>1.586426176785808E-2</v>
      </c>
      <c r="Q141" s="101">
        <f ca="1">Tabelle3!M$11</f>
        <v>1.4832633802528614E-2</v>
      </c>
      <c r="R141" s="101">
        <f ca="1">Tabelle3!N$11</f>
        <v>1.4431970953608606E-2</v>
      </c>
      <c r="S141" s="101">
        <f ca="1">Tabelle3!O$11</f>
        <v>1.4129107697732068E-2</v>
      </c>
      <c r="T141" s="101">
        <f ca="1">Tabelle3!P$11</f>
        <v>1.4129107697732068E-2</v>
      </c>
      <c r="U141" s="101">
        <f ca="1">Tabelle3!Q$11</f>
        <v>1.4431970953608606E-2</v>
      </c>
      <c r="V141" s="101">
        <f ca="1">Tabelle3!R$11</f>
        <v>1.4832633802528614E-2</v>
      </c>
      <c r="W141" s="101">
        <f ca="1">Tabelle3!S$11</f>
        <v>1.586426176785808E-2</v>
      </c>
      <c r="X141" s="101">
        <f ca="1">Tabelle3!T$11</f>
        <v>1.6921128337843924E-2</v>
      </c>
      <c r="Y141" s="101">
        <f ca="1">Tabelle3!U$11</f>
        <v>1.883152698809655E-2</v>
      </c>
      <c r="Z141" s="101">
        <f ca="1">Tabelle3!V$11</f>
        <v>2.1467377726579463E-2</v>
      </c>
      <c r="AA141" s="101">
        <f ca="1">Tabelle3!W$11</f>
        <v>2.534012631402046E-2</v>
      </c>
      <c r="AB141" s="101">
        <f ca="1">Tabelle3!X$11</f>
        <v>3.2448848339915841E-2</v>
      </c>
      <c r="AC141" s="101">
        <f ca="1">Tabelle3!Y$11</f>
        <v>4.4146358338306324E-2</v>
      </c>
      <c r="AD141" s="101">
        <f ca="1">Tabelle3!Z$11</f>
        <v>7.1420648873324402E-2</v>
      </c>
      <c r="AE141" s="101">
        <f ca="1">Tabelle3!AA$11</f>
        <v>0.19364554037001983</v>
      </c>
      <c r="AF141" s="55"/>
    </row>
    <row r="142" spans="1:33" s="27" customFormat="1">
      <c r="A142" s="27" t="s">
        <v>830</v>
      </c>
      <c r="F142" s="10">
        <f ca="1">Tabelle3!J$80</f>
        <v>2.1260406910099214</v>
      </c>
      <c r="H142" s="107">
        <f ca="1">$F$10*$F$142</f>
        <v>2.1260406910099214E-2</v>
      </c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55"/>
    </row>
    <row r="143" spans="1:33" ht="15" customHeight="1">
      <c r="A143" s="3" t="s">
        <v>831</v>
      </c>
      <c r="B143" s="11"/>
      <c r="C143" s="11"/>
      <c r="D143" s="11"/>
      <c r="E143" s="27"/>
      <c r="F143" s="6"/>
      <c r="G143" s="19">
        <f>SUM(H143:AE143)/48</f>
        <v>3.3975738804884674</v>
      </c>
      <c r="H143" s="24">
        <f>H$127*H$141*$F$16</f>
        <v>6.1887053259155564</v>
      </c>
      <c r="I143" s="24">
        <f t="shared" ref="I143:AE143" si="32">I$127*I$141*$F$16</f>
        <v>6.7685637891643804</v>
      </c>
      <c r="J143" s="24">
        <f t="shared" si="32"/>
        <v>6.8800124991316505</v>
      </c>
      <c r="K143" s="24">
        <f t="shared" si="32"/>
        <v>6.9529456352192822</v>
      </c>
      <c r="L143" s="24">
        <f t="shared" si="32"/>
        <v>6.8175072164468631</v>
      </c>
      <c r="M143" s="24">
        <f t="shared" si="32"/>
        <v>6.8523287750022472</v>
      </c>
      <c r="N143" s="24">
        <f t="shared" si="32"/>
        <v>6.8531325681989061</v>
      </c>
      <c r="O143" s="24">
        <f t="shared" si="32"/>
        <v>6.8078785992631694</v>
      </c>
      <c r="P143" s="24">
        <f t="shared" si="32"/>
        <v>6.8839867407199851</v>
      </c>
      <c r="Q143" s="24">
        <f t="shared" si="32"/>
        <v>6.872652894935201</v>
      </c>
      <c r="R143" s="24">
        <f t="shared" si="32"/>
        <v>6.8460905044206974</v>
      </c>
      <c r="S143" s="24">
        <f t="shared" si="32"/>
        <v>6.8179685833052774</v>
      </c>
      <c r="T143" s="24">
        <f t="shared" si="32"/>
        <v>6.8179685833052774</v>
      </c>
      <c r="U143" s="24">
        <f t="shared" si="32"/>
        <v>6.8460905044206974</v>
      </c>
      <c r="V143" s="24">
        <f t="shared" si="32"/>
        <v>6.872652894935201</v>
      </c>
      <c r="W143" s="24">
        <f t="shared" si="32"/>
        <v>6.8839867407199851</v>
      </c>
      <c r="X143" s="24">
        <f t="shared" si="32"/>
        <v>6.8078785992631694</v>
      </c>
      <c r="Y143" s="24">
        <f t="shared" si="32"/>
        <v>6.8531325681989061</v>
      </c>
      <c r="Z143" s="24">
        <f t="shared" si="32"/>
        <v>6.8523287750022472</v>
      </c>
      <c r="AA143" s="24">
        <f t="shared" si="32"/>
        <v>6.8175072164468631</v>
      </c>
      <c r="AB143" s="24">
        <f t="shared" si="32"/>
        <v>6.9529456352192822</v>
      </c>
      <c r="AC143" s="24">
        <f t="shared" si="32"/>
        <v>6.8800124991316505</v>
      </c>
      <c r="AD143" s="24">
        <f t="shared" si="32"/>
        <v>6.7685637891643804</v>
      </c>
      <c r="AE143" s="24">
        <f t="shared" si="32"/>
        <v>6.1887053259155564</v>
      </c>
      <c r="AF143" s="28"/>
      <c r="AG143" s="11"/>
    </row>
    <row r="144" spans="1:33">
      <c r="A144" s="3"/>
      <c r="B144" s="5" t="s">
        <v>409</v>
      </c>
      <c r="C144" s="11"/>
      <c r="D144" t="s">
        <v>408</v>
      </c>
      <c r="F144" s="27"/>
      <c r="G144" t="s">
        <v>854</v>
      </c>
      <c r="I144" s="2"/>
      <c r="K144" s="2"/>
      <c r="M144" s="2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11"/>
    </row>
    <row r="145" spans="1:33">
      <c r="A145" s="3"/>
      <c r="C145" s="11"/>
      <c r="D145" s="2" t="s">
        <v>1022</v>
      </c>
      <c r="F145" s="27"/>
      <c r="G145" s="2"/>
      <c r="I145" s="2"/>
      <c r="K145" s="2"/>
      <c r="M145" s="2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11"/>
    </row>
    <row r="146" spans="1:33">
      <c r="A146" t="s">
        <v>879</v>
      </c>
      <c r="C146" s="11"/>
      <c r="G146" s="98">
        <f>SUM(H146:AE146)/48</f>
        <v>305.32855781947018</v>
      </c>
      <c r="H146" s="97">
        <f>H$127*(1-($F$16+$F$13)*H$141)</f>
        <v>57.605391478407839</v>
      </c>
      <c r="I146" s="97">
        <f t="shared" ref="I146:AE146" si="33">I$127*(1-($F$16+$F$13)*I$141)</f>
        <v>182.63687409710514</v>
      </c>
      <c r="J146" s="97">
        <f t="shared" si="33"/>
        <v>304.67344210112378</v>
      </c>
      <c r="K146" s="97">
        <f t="shared" si="33"/>
        <v>421.45606362288743</v>
      </c>
      <c r="L146" s="97">
        <f t="shared" si="33"/>
        <v>531.12611366721376</v>
      </c>
      <c r="M146" s="97">
        <f t="shared" si="33"/>
        <v>631.40520290468487</v>
      </c>
      <c r="N146" s="97">
        <f t="shared" si="33"/>
        <v>720.84590352386738</v>
      </c>
      <c r="O146" s="97">
        <f t="shared" si="33"/>
        <v>797.71608617265247</v>
      </c>
      <c r="P146" s="97">
        <f t="shared" si="33"/>
        <v>860.83929566105155</v>
      </c>
      <c r="Q146" s="97">
        <f t="shared" si="33"/>
        <v>919.68342487020516</v>
      </c>
      <c r="R146" s="97">
        <f t="shared" si="33"/>
        <v>941.75649477393665</v>
      </c>
      <c r="S146" s="97">
        <f t="shared" si="33"/>
        <v>958.14109479414719</v>
      </c>
      <c r="T146" s="97">
        <f t="shared" si="33"/>
        <v>958.14109479414719</v>
      </c>
      <c r="U146" s="97">
        <f t="shared" si="33"/>
        <v>941.75649477393665</v>
      </c>
      <c r="V146" s="97">
        <f t="shared" si="33"/>
        <v>919.68342487020516</v>
      </c>
      <c r="W146" s="97">
        <f t="shared" si="33"/>
        <v>860.83929566105155</v>
      </c>
      <c r="X146" s="97">
        <f t="shared" si="33"/>
        <v>797.71608617265247</v>
      </c>
      <c r="Y146" s="97">
        <f t="shared" si="33"/>
        <v>720.84590352386738</v>
      </c>
      <c r="Z146" s="97">
        <f t="shared" si="33"/>
        <v>631.40520290468487</v>
      </c>
      <c r="AA146" s="97">
        <f t="shared" si="33"/>
        <v>531.12611366721376</v>
      </c>
      <c r="AB146" s="97">
        <f t="shared" si="33"/>
        <v>421.45606362288743</v>
      </c>
      <c r="AC146" s="97">
        <f t="shared" si="33"/>
        <v>304.67344210112378</v>
      </c>
      <c r="AD146" s="97">
        <f t="shared" si="33"/>
        <v>182.63687409710514</v>
      </c>
      <c r="AE146" s="97">
        <f t="shared" si="33"/>
        <v>57.605391478407839</v>
      </c>
      <c r="AF146" s="28"/>
      <c r="AG146" s="11"/>
    </row>
    <row r="147" spans="1:33">
      <c r="B147" s="24" t="s">
        <v>410</v>
      </c>
      <c r="D147" s="2" t="s">
        <v>411</v>
      </c>
      <c r="E147" s="24" t="s">
        <v>900</v>
      </c>
      <c r="H147" t="s">
        <v>853</v>
      </c>
      <c r="J147" s="2" t="s">
        <v>1022</v>
      </c>
      <c r="AF147" s="28"/>
      <c r="AG147" s="11"/>
    </row>
    <row r="148" spans="1:33">
      <c r="A148" t="s">
        <v>832</v>
      </c>
      <c r="C148" s="11"/>
      <c r="D148" s="24"/>
      <c r="G148" s="97">
        <f>SUM(H148:AE148)/48</f>
        <v>30.532855781947017</v>
      </c>
      <c r="H148" s="97">
        <f>H146*$O$20</f>
        <v>5.7605391478407846</v>
      </c>
      <c r="I148" s="97">
        <f t="shared" ref="I148:AE148" si="34">I146*$O$20</f>
        <v>18.263687409710514</v>
      </c>
      <c r="J148" s="97">
        <f t="shared" si="34"/>
        <v>30.46734421011238</v>
      </c>
      <c r="K148" s="97">
        <f t="shared" si="34"/>
        <v>42.145606362288746</v>
      </c>
      <c r="L148" s="97">
        <f t="shared" si="34"/>
        <v>53.112611366721382</v>
      </c>
      <c r="M148" s="97">
        <f t="shared" si="34"/>
        <v>63.140520290468487</v>
      </c>
      <c r="N148" s="97">
        <f t="shared" si="34"/>
        <v>72.084590352386741</v>
      </c>
      <c r="O148" s="97">
        <f t="shared" si="34"/>
        <v>79.771608617265258</v>
      </c>
      <c r="P148" s="97">
        <f t="shared" si="34"/>
        <v>86.083929566105155</v>
      </c>
      <c r="Q148" s="97">
        <f t="shared" si="34"/>
        <v>91.968342487020522</v>
      </c>
      <c r="R148" s="97">
        <f t="shared" si="34"/>
        <v>94.175649477393677</v>
      </c>
      <c r="S148" s="97">
        <f t="shared" si="34"/>
        <v>95.814109479414725</v>
      </c>
      <c r="T148" s="97">
        <f t="shared" si="34"/>
        <v>95.814109479414725</v>
      </c>
      <c r="U148" s="97">
        <f t="shared" si="34"/>
        <v>94.175649477393677</v>
      </c>
      <c r="V148" s="97">
        <f t="shared" si="34"/>
        <v>91.968342487020522</v>
      </c>
      <c r="W148" s="97">
        <f t="shared" si="34"/>
        <v>86.083929566105155</v>
      </c>
      <c r="X148" s="97">
        <f t="shared" si="34"/>
        <v>79.771608617265258</v>
      </c>
      <c r="Y148" s="97">
        <f t="shared" si="34"/>
        <v>72.084590352386741</v>
      </c>
      <c r="Z148" s="97">
        <f t="shared" si="34"/>
        <v>63.140520290468487</v>
      </c>
      <c r="AA148" s="97">
        <f t="shared" si="34"/>
        <v>53.112611366721382</v>
      </c>
      <c r="AB148" s="97">
        <f t="shared" si="34"/>
        <v>42.145606362288746</v>
      </c>
      <c r="AC148" s="97">
        <f t="shared" si="34"/>
        <v>30.46734421011238</v>
      </c>
      <c r="AD148" s="97">
        <f t="shared" si="34"/>
        <v>18.263687409710514</v>
      </c>
      <c r="AE148" s="97">
        <f t="shared" si="34"/>
        <v>5.7605391478407846</v>
      </c>
      <c r="AF148" s="28"/>
      <c r="AG148" s="11"/>
    </row>
    <row r="149" spans="1:33">
      <c r="B149" s="24" t="s">
        <v>912</v>
      </c>
      <c r="C149" s="14" t="s">
        <v>852</v>
      </c>
      <c r="D149" s="24" t="s">
        <v>851</v>
      </c>
      <c r="F149" s="27"/>
      <c r="AF149" s="28"/>
      <c r="AG149" s="11"/>
    </row>
    <row r="150" spans="1:33">
      <c r="A150" s="20" t="s">
        <v>833</v>
      </c>
      <c r="B150" s="11"/>
      <c r="C150" s="11"/>
      <c r="D150" s="11"/>
      <c r="E150" s="27"/>
      <c r="F150" s="6"/>
      <c r="G150" s="19">
        <f>SUM(H150:AE150)/48</f>
        <v>30.201793903540718</v>
      </c>
      <c r="H150" s="24">
        <f>H148*(1-($F$16+$F$13)*$H$142)</f>
        <v>5.6980787306254124</v>
      </c>
      <c r="I150" s="24">
        <f t="shared" ref="I150:AE150" si="35">I148*(1-($F$16+$F$13)*$H$142)</f>
        <v>18.06565776244577</v>
      </c>
      <c r="J150" s="24">
        <f t="shared" si="35"/>
        <v>30.136992661070089</v>
      </c>
      <c r="K150" s="24">
        <f t="shared" si="35"/>
        <v>41.688629664513833</v>
      </c>
      <c r="L150" s="24">
        <f t="shared" si="35"/>
        <v>52.536721544567008</v>
      </c>
      <c r="M150" s="24">
        <f t="shared" si="35"/>
        <v>62.455899781984215</v>
      </c>
      <c r="N150" s="24">
        <f t="shared" si="35"/>
        <v>71.302991013738577</v>
      </c>
      <c r="O150" s="24">
        <f t="shared" si="35"/>
        <v>78.906660419136387</v>
      </c>
      <c r="P150" s="24">
        <f t="shared" si="35"/>
        <v>85.150538086897342</v>
      </c>
      <c r="Q150" s="24">
        <f t="shared" si="35"/>
        <v>90.971147451118597</v>
      </c>
      <c r="R150" s="24">
        <f t="shared" si="35"/>
        <v>93.154521036648433</v>
      </c>
      <c r="S150" s="24">
        <f t="shared" si="35"/>
        <v>94.775215532231542</v>
      </c>
      <c r="T150" s="24">
        <f t="shared" si="35"/>
        <v>94.775215532231542</v>
      </c>
      <c r="U150" s="24">
        <f t="shared" si="35"/>
        <v>93.154521036648433</v>
      </c>
      <c r="V150" s="24">
        <f t="shared" si="35"/>
        <v>90.971147451118597</v>
      </c>
      <c r="W150" s="24">
        <f t="shared" si="35"/>
        <v>85.150538086897342</v>
      </c>
      <c r="X150" s="24">
        <f t="shared" si="35"/>
        <v>78.906660419136387</v>
      </c>
      <c r="Y150" s="24">
        <f t="shared" si="35"/>
        <v>71.302991013738577</v>
      </c>
      <c r="Z150" s="24">
        <f t="shared" si="35"/>
        <v>62.455899781984215</v>
      </c>
      <c r="AA150" s="24">
        <f t="shared" si="35"/>
        <v>52.536721544567008</v>
      </c>
      <c r="AB150" s="24">
        <f t="shared" si="35"/>
        <v>41.688629664513833</v>
      </c>
      <c r="AC150" s="24">
        <f t="shared" si="35"/>
        <v>30.136992661070089</v>
      </c>
      <c r="AD150" s="24">
        <f t="shared" si="35"/>
        <v>18.06565776244577</v>
      </c>
      <c r="AE150" s="24">
        <f t="shared" si="35"/>
        <v>5.6980787306254124</v>
      </c>
      <c r="AF150" s="28"/>
      <c r="AG150" s="11"/>
    </row>
    <row r="151" spans="1:33">
      <c r="A151" s="20"/>
      <c r="B151" s="24" t="s">
        <v>1023</v>
      </c>
      <c r="C151" s="11"/>
      <c r="D151" t="s">
        <v>1024</v>
      </c>
      <c r="G151" s="27"/>
      <c r="H151" s="24" t="s">
        <v>900</v>
      </c>
      <c r="K151" t="s">
        <v>853</v>
      </c>
      <c r="M151" s="28"/>
      <c r="O151" s="28"/>
      <c r="P151" s="28"/>
      <c r="Q151" s="11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11"/>
    </row>
    <row r="152" spans="1:33">
      <c r="A152" t="s">
        <v>834</v>
      </c>
      <c r="B152" s="5"/>
      <c r="C152" s="11"/>
      <c r="D152" s="5" t="s">
        <v>1025</v>
      </c>
      <c r="F152" t="s">
        <v>911</v>
      </c>
      <c r="G152" s="97">
        <f>SUM(H152:AE152)/48</f>
        <v>0.32457046902578451</v>
      </c>
      <c r="H152" s="97">
        <f t="shared" ref="H152:Y152" si="36">H148*$H142*$F$16</f>
        <v>6.1235703152325627E-2</v>
      </c>
      <c r="I152" s="97">
        <f t="shared" si="36"/>
        <v>0.1941467130046507</v>
      </c>
      <c r="J152" s="97">
        <f t="shared" si="36"/>
        <v>0.32387406768852228</v>
      </c>
      <c r="K152" s="97">
        <f t="shared" si="36"/>
        <v>0.44801637036756253</v>
      </c>
      <c r="L152" s="97">
        <f t="shared" si="36"/>
        <v>0.56459786485722863</v>
      </c>
      <c r="M152" s="97">
        <f t="shared" si="36"/>
        <v>0.67119657694536794</v>
      </c>
      <c r="N152" s="97">
        <f t="shared" si="36"/>
        <v>0.76627386141977705</v>
      </c>
      <c r="O152" s="97">
        <f t="shared" si="36"/>
        <v>0.84798842953811815</v>
      </c>
      <c r="P152" s="97">
        <f t="shared" si="36"/>
        <v>0.91508968549785807</v>
      </c>
      <c r="Q152" s="97">
        <f t="shared" si="36"/>
        <v>0.97764219206071112</v>
      </c>
      <c r="R152" s="97">
        <f t="shared" si="36"/>
        <v>1.001106314456131</v>
      </c>
      <c r="S152" s="97">
        <f t="shared" si="36"/>
        <v>1.0185234776305756</v>
      </c>
      <c r="T152" s="97">
        <f t="shared" si="36"/>
        <v>1.0185234776305756</v>
      </c>
      <c r="U152" s="97">
        <f t="shared" si="36"/>
        <v>1.001106314456131</v>
      </c>
      <c r="V152" s="97">
        <f t="shared" si="36"/>
        <v>0.97764219206071112</v>
      </c>
      <c r="W152" s="97">
        <f t="shared" si="36"/>
        <v>0.91508968549785807</v>
      </c>
      <c r="X152" s="97">
        <f t="shared" si="36"/>
        <v>0.84798842953811815</v>
      </c>
      <c r="Y152" s="97">
        <f t="shared" si="36"/>
        <v>0.76627386141977705</v>
      </c>
      <c r="Z152" s="97">
        <f t="shared" ref="Z152:AE152" si="37">Z148*$H142*$F$16</f>
        <v>0.67119657694536794</v>
      </c>
      <c r="AA152" s="97">
        <f t="shared" si="37"/>
        <v>0.56459786485722863</v>
      </c>
      <c r="AB152" s="97">
        <f t="shared" si="37"/>
        <v>0.44801637036756253</v>
      </c>
      <c r="AC152" s="97">
        <f t="shared" si="37"/>
        <v>0.32387406768852228</v>
      </c>
      <c r="AD152" s="97">
        <f t="shared" si="37"/>
        <v>0.1941467130046507</v>
      </c>
      <c r="AE152" s="97">
        <f t="shared" si="37"/>
        <v>6.1235703152325627E-2</v>
      </c>
      <c r="AF152" s="28"/>
      <c r="AG152" s="11"/>
    </row>
    <row r="153" spans="1:33">
      <c r="A153" t="s">
        <v>909</v>
      </c>
      <c r="B153" s="5"/>
      <c r="C153" s="11"/>
      <c r="D153" s="5" t="s">
        <v>850</v>
      </c>
      <c r="G153" s="97">
        <f>SUM(H153:AE153)/48</f>
        <v>3.2457046902578453E-2</v>
      </c>
      <c r="H153" s="97">
        <f>H152*$O$20</f>
        <v>6.1235703152325632E-3</v>
      </c>
      <c r="I153" s="97">
        <f t="shared" ref="I153:AE153" si="38">I152*$O$20</f>
        <v>1.9414671300465071E-2</v>
      </c>
      <c r="J153" s="97">
        <f t="shared" si="38"/>
        <v>3.2387406768852232E-2</v>
      </c>
      <c r="K153" s="97">
        <f t="shared" si="38"/>
        <v>4.4801637036756256E-2</v>
      </c>
      <c r="L153" s="97">
        <f t="shared" si="38"/>
        <v>5.6459786485722863E-2</v>
      </c>
      <c r="M153" s="97">
        <f t="shared" si="38"/>
        <v>6.7119657694536802E-2</v>
      </c>
      <c r="N153" s="97">
        <f t="shared" si="38"/>
        <v>7.6627386141977713E-2</v>
      </c>
      <c r="O153" s="97">
        <f t="shared" si="38"/>
        <v>8.479884295381182E-2</v>
      </c>
      <c r="P153" s="97">
        <f t="shared" si="38"/>
        <v>9.150896854978581E-2</v>
      </c>
      <c r="Q153" s="97">
        <f t="shared" si="38"/>
        <v>9.7764219206071118E-2</v>
      </c>
      <c r="R153" s="97">
        <f t="shared" si="38"/>
        <v>0.10011063144561311</v>
      </c>
      <c r="S153" s="97">
        <f t="shared" si="38"/>
        <v>0.10185234776305757</v>
      </c>
      <c r="T153" s="97">
        <f t="shared" si="38"/>
        <v>0.10185234776305757</v>
      </c>
      <c r="U153" s="97">
        <f t="shared" si="38"/>
        <v>0.10011063144561311</v>
      </c>
      <c r="V153" s="97">
        <f t="shared" si="38"/>
        <v>9.7764219206071118E-2</v>
      </c>
      <c r="W153" s="97">
        <f t="shared" si="38"/>
        <v>9.150896854978581E-2</v>
      </c>
      <c r="X153" s="97">
        <f t="shared" si="38"/>
        <v>8.479884295381182E-2</v>
      </c>
      <c r="Y153" s="97">
        <f t="shared" si="38"/>
        <v>7.6627386141977713E-2</v>
      </c>
      <c r="Z153" s="97">
        <f t="shared" si="38"/>
        <v>6.7119657694536802E-2</v>
      </c>
      <c r="AA153" s="97">
        <f t="shared" si="38"/>
        <v>5.6459786485722863E-2</v>
      </c>
      <c r="AB153" s="97">
        <f t="shared" si="38"/>
        <v>4.4801637036756256E-2</v>
      </c>
      <c r="AC153" s="97">
        <f t="shared" si="38"/>
        <v>3.2387406768852232E-2</v>
      </c>
      <c r="AD153" s="97">
        <f t="shared" si="38"/>
        <v>1.9414671300465071E-2</v>
      </c>
      <c r="AE153" s="97">
        <f t="shared" si="38"/>
        <v>6.1235703152325632E-3</v>
      </c>
      <c r="AF153" s="28"/>
      <c r="AG153" s="11"/>
    </row>
    <row r="154" spans="1:33">
      <c r="A154" s="20" t="s">
        <v>835</v>
      </c>
      <c r="B154" s="5"/>
      <c r="C154" s="11"/>
      <c r="G154" s="19">
        <f>SUM(H154:AE154)/48</f>
        <v>3.2105121390211468E-2</v>
      </c>
      <c r="H154" s="24">
        <f>H153*(1-($F$16+$F$13)*$H142)</f>
        <v>6.0571736209438943E-3</v>
      </c>
      <c r="I154" s="24">
        <f t="shared" ref="I154:Y154" si="39">I153*(1-($F$16+$F$13)*$H142)</f>
        <v>1.9204161756409478E-2</v>
      </c>
      <c r="J154" s="24">
        <f t="shared" si="39"/>
        <v>3.2036236351051198E-2</v>
      </c>
      <c r="K154" s="24">
        <f t="shared" si="39"/>
        <v>4.4315861509599853E-2</v>
      </c>
      <c r="L154" s="24">
        <f t="shared" si="39"/>
        <v>5.5847603888003534E-2</v>
      </c>
      <c r="M154" s="24">
        <f t="shared" si="39"/>
        <v>6.6391892165068064E-2</v>
      </c>
      <c r="N154" s="24">
        <f t="shared" si="39"/>
        <v>7.5796530142961491E-2</v>
      </c>
      <c r="O154" s="24">
        <f t="shared" si="39"/>
        <v>8.3879385421392963E-2</v>
      </c>
      <c r="P154" s="24">
        <f t="shared" si="39"/>
        <v>9.0516754417066941E-2</v>
      </c>
      <c r="Q154" s="24">
        <f t="shared" si="39"/>
        <v>9.670418059447082E-2</v>
      </c>
      <c r="R154" s="24">
        <f t="shared" si="39"/>
        <v>9.9025151137727155E-2</v>
      </c>
      <c r="S154" s="24">
        <f t="shared" si="39"/>
        <v>0.10074798236037989</v>
      </c>
      <c r="T154" s="24">
        <f t="shared" si="39"/>
        <v>0.10074798236037989</v>
      </c>
      <c r="U154" s="24">
        <f t="shared" si="39"/>
        <v>9.9025151137727155E-2</v>
      </c>
      <c r="V154" s="24">
        <f t="shared" si="39"/>
        <v>9.670418059447082E-2</v>
      </c>
      <c r="W154" s="24">
        <f t="shared" si="39"/>
        <v>9.0516754417066941E-2</v>
      </c>
      <c r="X154" s="24">
        <f t="shared" si="39"/>
        <v>8.3879385421392963E-2</v>
      </c>
      <c r="Y154" s="24">
        <f t="shared" si="39"/>
        <v>7.5796530142961491E-2</v>
      </c>
      <c r="Z154" s="24">
        <f t="shared" ref="Z154:AE154" si="40">Z153*(1-($F$16+$F$13)*$H142)</f>
        <v>6.6391892165068064E-2</v>
      </c>
      <c r="AA154" s="24">
        <f t="shared" si="40"/>
        <v>5.5847603888003534E-2</v>
      </c>
      <c r="AB154" s="24">
        <f t="shared" si="40"/>
        <v>4.4315861509599853E-2</v>
      </c>
      <c r="AC154" s="24">
        <f t="shared" si="40"/>
        <v>3.2036236351051198E-2</v>
      </c>
      <c r="AD154" s="24">
        <f t="shared" si="40"/>
        <v>1.9204161756409478E-2</v>
      </c>
      <c r="AE154" s="24">
        <f t="shared" si="40"/>
        <v>6.0571736209438943E-3</v>
      </c>
      <c r="AF154" s="28"/>
      <c r="AG154" s="11"/>
    </row>
    <row r="155" spans="1:33">
      <c r="A155" s="20"/>
      <c r="B155" s="24" t="s">
        <v>1026</v>
      </c>
      <c r="C155" s="11"/>
      <c r="D155" t="s">
        <v>1024</v>
      </c>
      <c r="G155" s="27"/>
      <c r="H155" s="24" t="s">
        <v>900</v>
      </c>
      <c r="K155" t="s">
        <v>853</v>
      </c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8"/>
      <c r="AG155" s="11"/>
    </row>
    <row r="156" spans="1:33">
      <c r="A156" s="100" t="s">
        <v>836</v>
      </c>
      <c r="B156" s="5"/>
      <c r="C156" s="11"/>
      <c r="G156" s="19">
        <f>SUM(H156:AE156)/48</f>
        <v>3.4128397232701298E-5</v>
      </c>
      <c r="H156" s="2">
        <f>H154^2/H150</f>
        <v>6.4388987953193122E-6</v>
      </c>
      <c r="I156" s="2">
        <f t="shared" ref="I156:AE156" si="41">I154^2/I150</f>
        <v>2.0414414665431554E-5</v>
      </c>
      <c r="J156" s="2">
        <f t="shared" si="41"/>
        <v>3.4055171034573032E-5</v>
      </c>
      <c r="K156" s="2">
        <f t="shared" si="41"/>
        <v>4.7108662413284832E-5</v>
      </c>
      <c r="L156" s="2">
        <f t="shared" si="41"/>
        <v>5.9367139180649708E-5</v>
      </c>
      <c r="M156" s="2">
        <f t="shared" si="41"/>
        <v>7.0575932148038764E-5</v>
      </c>
      <c r="N156" s="2">
        <f t="shared" si="41"/>
        <v>8.0573253660648085E-5</v>
      </c>
      <c r="O156" s="2">
        <f t="shared" si="41"/>
        <v>8.9165493271392907E-5</v>
      </c>
      <c r="P156" s="2">
        <f t="shared" si="41"/>
        <v>9.6221151554418198E-5</v>
      </c>
      <c r="Q156" s="2">
        <f t="shared" si="41"/>
        <v>1.0279851146730849E-4</v>
      </c>
      <c r="R156" s="2">
        <f t="shared" si="41"/>
        <v>1.0526575037610769E-4</v>
      </c>
      <c r="S156" s="2">
        <f t="shared" si="41"/>
        <v>1.0709715501765872E-4</v>
      </c>
      <c r="T156" s="2">
        <f t="shared" si="41"/>
        <v>1.0709715501765872E-4</v>
      </c>
      <c r="U156" s="2">
        <f t="shared" si="41"/>
        <v>1.0526575037610769E-4</v>
      </c>
      <c r="V156" s="2">
        <f t="shared" si="41"/>
        <v>1.0279851146730849E-4</v>
      </c>
      <c r="W156" s="2">
        <f t="shared" si="41"/>
        <v>9.6221151554418198E-5</v>
      </c>
      <c r="X156" s="2">
        <f t="shared" si="41"/>
        <v>8.9165493271392907E-5</v>
      </c>
      <c r="Y156" s="2">
        <f t="shared" si="41"/>
        <v>8.0573253660648085E-5</v>
      </c>
      <c r="Z156" s="2">
        <f t="shared" si="41"/>
        <v>7.0575932148038764E-5</v>
      </c>
      <c r="AA156" s="2">
        <f t="shared" si="41"/>
        <v>5.9367139180649708E-5</v>
      </c>
      <c r="AB156" s="2">
        <f t="shared" si="41"/>
        <v>4.7108662413284832E-5</v>
      </c>
      <c r="AC156" s="2">
        <f t="shared" si="41"/>
        <v>3.4055171034573032E-5</v>
      </c>
      <c r="AD156" s="2">
        <f t="shared" si="41"/>
        <v>2.0414414665431554E-5</v>
      </c>
      <c r="AE156" s="2">
        <f t="shared" si="41"/>
        <v>6.4388987953193122E-6</v>
      </c>
      <c r="AF156" s="28"/>
      <c r="AG156" s="11"/>
    </row>
    <row r="157" spans="1:33">
      <c r="A157" s="100"/>
      <c r="B157" s="24" t="s">
        <v>849</v>
      </c>
      <c r="C157" s="11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8"/>
      <c r="AG157" s="11"/>
    </row>
    <row r="158" spans="1:33">
      <c r="A158" s="20" t="s">
        <v>837</v>
      </c>
      <c r="B158" s="11"/>
      <c r="C158" s="11"/>
      <c r="D158" s="11"/>
      <c r="E158" s="27"/>
      <c r="F158" s="6"/>
      <c r="G158" s="19">
        <f>SUM(H158:AE158)/24</f>
        <v>357.99453006384289</v>
      </c>
      <c r="H158" s="24">
        <f t="shared" ref="H158:AE158" si="42">$O$24*(1-$H$142*(1-$F$14))</f>
        <v>357.994530063843</v>
      </c>
      <c r="I158" s="24">
        <f t="shared" si="42"/>
        <v>357.994530063843</v>
      </c>
      <c r="J158" s="24">
        <f t="shared" si="42"/>
        <v>357.994530063843</v>
      </c>
      <c r="K158" s="24">
        <f t="shared" si="42"/>
        <v>357.994530063843</v>
      </c>
      <c r="L158" s="24">
        <f t="shared" si="42"/>
        <v>357.994530063843</v>
      </c>
      <c r="M158" s="24">
        <f t="shared" si="42"/>
        <v>357.994530063843</v>
      </c>
      <c r="N158" s="24">
        <f t="shared" si="42"/>
        <v>357.994530063843</v>
      </c>
      <c r="O158" s="24">
        <f t="shared" si="42"/>
        <v>357.994530063843</v>
      </c>
      <c r="P158" s="24">
        <f t="shared" si="42"/>
        <v>357.994530063843</v>
      </c>
      <c r="Q158" s="24">
        <f t="shared" si="42"/>
        <v>357.994530063843</v>
      </c>
      <c r="R158" s="24">
        <f t="shared" si="42"/>
        <v>357.994530063843</v>
      </c>
      <c r="S158" s="24">
        <f t="shared" si="42"/>
        <v>357.994530063843</v>
      </c>
      <c r="T158" s="24">
        <f t="shared" si="42"/>
        <v>357.994530063843</v>
      </c>
      <c r="U158" s="24">
        <f t="shared" si="42"/>
        <v>357.994530063843</v>
      </c>
      <c r="V158" s="24">
        <f t="shared" si="42"/>
        <v>357.994530063843</v>
      </c>
      <c r="W158" s="24">
        <f t="shared" si="42"/>
        <v>357.994530063843</v>
      </c>
      <c r="X158" s="24">
        <f t="shared" si="42"/>
        <v>357.994530063843</v>
      </c>
      <c r="Y158" s="24">
        <f t="shared" si="42"/>
        <v>357.994530063843</v>
      </c>
      <c r="Z158" s="24">
        <f t="shared" si="42"/>
        <v>357.994530063843</v>
      </c>
      <c r="AA158" s="24">
        <f t="shared" si="42"/>
        <v>357.994530063843</v>
      </c>
      <c r="AB158" s="24">
        <f t="shared" si="42"/>
        <v>357.994530063843</v>
      </c>
      <c r="AC158" s="24">
        <f t="shared" si="42"/>
        <v>357.994530063843</v>
      </c>
      <c r="AD158" s="24">
        <f t="shared" si="42"/>
        <v>357.994530063843</v>
      </c>
      <c r="AE158" s="24">
        <f t="shared" si="42"/>
        <v>357.994530063843</v>
      </c>
      <c r="AF158" s="28"/>
      <c r="AG158" s="11"/>
    </row>
    <row r="159" spans="1:33">
      <c r="A159" s="20"/>
      <c r="B159" s="5" t="s">
        <v>848</v>
      </c>
      <c r="C159" s="11"/>
      <c r="D159" t="s">
        <v>846</v>
      </c>
      <c r="E159" s="2"/>
      <c r="G159" t="s">
        <v>847</v>
      </c>
      <c r="I159" s="11"/>
      <c r="J159" s="28"/>
      <c r="K159" s="2" t="s">
        <v>844</v>
      </c>
      <c r="L159" s="12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11"/>
    </row>
    <row r="160" spans="1:33">
      <c r="A160" s="12" t="s">
        <v>573</v>
      </c>
      <c r="B160" t="s">
        <v>839</v>
      </c>
      <c r="E160" s="12"/>
      <c r="F160" s="6"/>
      <c r="G160" s="32"/>
      <c r="H160" s="3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3">
      <c r="A161" s="11"/>
      <c r="B161" s="14" t="s">
        <v>870</v>
      </c>
      <c r="E161" s="12"/>
      <c r="F161" s="6"/>
      <c r="G161" s="32"/>
      <c r="H161" s="3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3">
      <c r="A162" s="11"/>
      <c r="B162" s="14" t="s">
        <v>845</v>
      </c>
      <c r="E162" s="12"/>
      <c r="F162" s="6"/>
      <c r="G162" s="32"/>
      <c r="H162" s="3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3">
      <c r="A163" s="11"/>
      <c r="B163" s="14" t="s">
        <v>842</v>
      </c>
      <c r="E163" s="12"/>
      <c r="F163" s="6"/>
      <c r="G163" s="32"/>
      <c r="H163" s="3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3">
      <c r="A164" s="20" t="s">
        <v>914</v>
      </c>
      <c r="B164" s="11"/>
      <c r="C164" s="11"/>
      <c r="D164" s="11"/>
      <c r="E164" s="27"/>
      <c r="F164" s="6"/>
      <c r="G164" s="19">
        <f>SUM(H164:AE164)/24</f>
        <v>2.5618512323568008</v>
      </c>
      <c r="H164" s="24">
        <f t="shared" ref="H164:AE164" si="43">$M$9*($F$9+273)^4*$F$10*$F$18</f>
        <v>2.5618512323567995</v>
      </c>
      <c r="I164" s="24">
        <f t="shared" si="43"/>
        <v>2.5618512323567995</v>
      </c>
      <c r="J164" s="24">
        <f t="shared" si="43"/>
        <v>2.5618512323567995</v>
      </c>
      <c r="K164" s="24">
        <f t="shared" si="43"/>
        <v>2.5618512323567995</v>
      </c>
      <c r="L164" s="24">
        <f t="shared" si="43"/>
        <v>2.5618512323567995</v>
      </c>
      <c r="M164" s="24">
        <f t="shared" si="43"/>
        <v>2.5618512323567995</v>
      </c>
      <c r="N164" s="24">
        <f t="shared" si="43"/>
        <v>2.5618512323567995</v>
      </c>
      <c r="O164" s="24">
        <f t="shared" si="43"/>
        <v>2.5618512323567995</v>
      </c>
      <c r="P164" s="24">
        <f t="shared" si="43"/>
        <v>2.5618512323567995</v>
      </c>
      <c r="Q164" s="24">
        <f t="shared" si="43"/>
        <v>2.5618512323567995</v>
      </c>
      <c r="R164" s="24">
        <f t="shared" si="43"/>
        <v>2.5618512323567995</v>
      </c>
      <c r="S164" s="24">
        <f t="shared" si="43"/>
        <v>2.5618512323567995</v>
      </c>
      <c r="T164" s="24">
        <f t="shared" si="43"/>
        <v>2.5618512323567995</v>
      </c>
      <c r="U164" s="24">
        <f t="shared" si="43"/>
        <v>2.5618512323567995</v>
      </c>
      <c r="V164" s="24">
        <f t="shared" si="43"/>
        <v>2.5618512323567995</v>
      </c>
      <c r="W164" s="24">
        <f t="shared" si="43"/>
        <v>2.5618512323567995</v>
      </c>
      <c r="X164" s="24">
        <f t="shared" si="43"/>
        <v>2.5618512323567995</v>
      </c>
      <c r="Y164" s="24">
        <f t="shared" si="43"/>
        <v>2.5618512323567995</v>
      </c>
      <c r="Z164" s="24">
        <f t="shared" si="43"/>
        <v>2.5618512323567995</v>
      </c>
      <c r="AA164" s="24">
        <f t="shared" si="43"/>
        <v>2.5618512323567995</v>
      </c>
      <c r="AB164" s="24">
        <f t="shared" si="43"/>
        <v>2.5618512323567995</v>
      </c>
      <c r="AC164" s="24">
        <f t="shared" si="43"/>
        <v>2.5618512323567995</v>
      </c>
      <c r="AD164" s="24">
        <f t="shared" si="43"/>
        <v>2.5618512323567995</v>
      </c>
      <c r="AE164" s="24">
        <f t="shared" si="43"/>
        <v>2.5618512323567995</v>
      </c>
      <c r="AF164" s="28"/>
      <c r="AG164" s="11"/>
    </row>
    <row r="165" spans="1:33">
      <c r="A165" s="20"/>
      <c r="B165" s="5" t="s">
        <v>923</v>
      </c>
      <c r="C165" s="11"/>
      <c r="D165" t="s">
        <v>743</v>
      </c>
      <c r="E165" s="27"/>
      <c r="F165" s="6"/>
      <c r="G165" s="28"/>
      <c r="H165" t="s">
        <v>717</v>
      </c>
      <c r="I165" s="29"/>
      <c r="J165" s="11"/>
      <c r="K165" s="2" t="s">
        <v>719</v>
      </c>
      <c r="L165" s="11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11"/>
    </row>
    <row r="166" spans="1:33">
      <c r="A166" s="20"/>
      <c r="B166" s="27" t="s">
        <v>925</v>
      </c>
      <c r="C166" s="11" t="s">
        <v>924</v>
      </c>
      <c r="E166" s="27"/>
      <c r="F166" s="6"/>
      <c r="G166" s="28"/>
      <c r="I166" s="29"/>
      <c r="J166" s="11"/>
      <c r="K166" s="2"/>
      <c r="L166" s="11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11"/>
    </row>
    <row r="167" spans="1:33">
      <c r="A167" s="20"/>
      <c r="B167" s="14"/>
      <c r="C167" t="s">
        <v>926</v>
      </c>
      <c r="E167" s="27"/>
      <c r="F167" s="6"/>
      <c r="G167" s="28"/>
      <c r="I167" s="29"/>
      <c r="J167" s="11"/>
      <c r="K167" s="2"/>
      <c r="L167" s="11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11"/>
    </row>
    <row r="168" spans="1:33">
      <c r="A168" s="20"/>
      <c r="B168" s="16" t="s">
        <v>740</v>
      </c>
      <c r="C168" s="11"/>
      <c r="D168" s="11"/>
      <c r="E168" s="27"/>
      <c r="F168" s="6"/>
      <c r="G168" s="32">
        <f>G143+G150+G154+G156+G164+G158</f>
        <v>394.18788833001634</v>
      </c>
      <c r="H168" s="33"/>
      <c r="I168" s="29"/>
      <c r="J168" s="28"/>
      <c r="K168" s="11"/>
      <c r="L168" s="11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11"/>
    </row>
    <row r="169" spans="1:33">
      <c r="A169" s="20"/>
      <c r="B169" s="16" t="s">
        <v>424</v>
      </c>
      <c r="G169" s="32">
        <f>G132-G168</f>
        <v>2.3036514847403282</v>
      </c>
      <c r="H169" s="33"/>
      <c r="I169" s="8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3">
      <c r="A170" s="39" t="s">
        <v>501</v>
      </c>
      <c r="B170" s="16"/>
      <c r="G170" s="32"/>
      <c r="H170" s="3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3">
      <c r="A171" s="3" t="s">
        <v>771</v>
      </c>
      <c r="G171" t="s">
        <v>535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3">
      <c r="A172" s="12" t="s">
        <v>822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3">
      <c r="A173" s="3"/>
      <c r="B173" s="12" t="s">
        <v>732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3">
      <c r="A174" s="12" t="s">
        <v>823</v>
      </c>
      <c r="B174" s="1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3">
      <c r="A175" s="12" t="s">
        <v>871</v>
      </c>
      <c r="B175" s="1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3">
      <c r="A176" s="12"/>
      <c r="B176" s="12" t="s">
        <v>872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3">
      <c r="A177" s="20" t="s">
        <v>873</v>
      </c>
      <c r="B177" s="11"/>
      <c r="C177" s="11"/>
      <c r="D177" s="11"/>
      <c r="E177" s="14" t="s">
        <v>563</v>
      </c>
      <c r="F177" s="31">
        <f>$F$15</f>
        <v>0.7</v>
      </c>
      <c r="G177" s="19">
        <f>SUM(H177:AE177)/48</f>
        <v>147.66718189948793</v>
      </c>
      <c r="H177" s="2">
        <f>H$127*H$27*$F$15</f>
        <v>0</v>
      </c>
      <c r="I177" s="2">
        <f t="shared" ref="I177:AE177" si="44">I$127*I$27*$F$15</f>
        <v>0</v>
      </c>
      <c r="J177" s="2">
        <f t="shared" si="44"/>
        <v>0</v>
      </c>
      <c r="K177" s="2">
        <f t="shared" si="44"/>
        <v>0</v>
      </c>
      <c r="L177" s="2">
        <f t="shared" si="44"/>
        <v>0</v>
      </c>
      <c r="M177" s="2">
        <f t="shared" si="44"/>
        <v>0</v>
      </c>
      <c r="N177" s="2">
        <f t="shared" si="44"/>
        <v>0</v>
      </c>
      <c r="O177" s="2">
        <f t="shared" si="44"/>
        <v>0</v>
      </c>
      <c r="P177" s="2">
        <f t="shared" si="44"/>
        <v>607.50267349561011</v>
      </c>
      <c r="Q177" s="2">
        <f t="shared" si="44"/>
        <v>648.68547157612727</v>
      </c>
      <c r="R177" s="2">
        <f t="shared" si="44"/>
        <v>664.11765496191197</v>
      </c>
      <c r="S177" s="2">
        <f t="shared" si="44"/>
        <v>675.56679592438286</v>
      </c>
      <c r="T177" s="2">
        <f t="shared" si="44"/>
        <v>675.56679592438286</v>
      </c>
      <c r="U177" s="2">
        <f t="shared" si="44"/>
        <v>664.11765496191197</v>
      </c>
      <c r="V177" s="2">
        <f t="shared" si="44"/>
        <v>648.68547157612727</v>
      </c>
      <c r="W177" s="2">
        <f t="shared" si="44"/>
        <v>607.50267349561011</v>
      </c>
      <c r="X177" s="2">
        <f t="shared" si="44"/>
        <v>563.26208564073056</v>
      </c>
      <c r="Y177" s="2">
        <f t="shared" si="44"/>
        <v>509.48526912040114</v>
      </c>
      <c r="Z177" s="2">
        <f t="shared" si="44"/>
        <v>446.87620477863101</v>
      </c>
      <c r="AA177" s="2">
        <f t="shared" si="44"/>
        <v>376.65597971959266</v>
      </c>
      <c r="AB177" s="2">
        <f t="shared" si="44"/>
        <v>0</v>
      </c>
      <c r="AC177" s="2">
        <f t="shared" si="44"/>
        <v>0</v>
      </c>
      <c r="AD177" s="2">
        <f t="shared" si="44"/>
        <v>0</v>
      </c>
      <c r="AE177" s="2">
        <f t="shared" si="44"/>
        <v>0</v>
      </c>
      <c r="AF177" s="2"/>
    </row>
    <row r="178" spans="1:33">
      <c r="A178" s="5"/>
      <c r="B178" s="5" t="s">
        <v>412</v>
      </c>
      <c r="C178" s="11"/>
      <c r="D178" t="s">
        <v>413</v>
      </c>
      <c r="E178" s="12"/>
      <c r="F178" s="18"/>
      <c r="G178" s="19"/>
      <c r="H178" s="2" t="s">
        <v>860</v>
      </c>
      <c r="I178" s="2"/>
      <c r="J178" s="2" t="s">
        <v>861</v>
      </c>
      <c r="K178" s="26"/>
      <c r="L178" s="2"/>
      <c r="M178" s="2"/>
      <c r="N178" s="2"/>
      <c r="O178" s="26"/>
      <c r="P178" s="2"/>
      <c r="Q178" s="2"/>
      <c r="R178" s="26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3">
      <c r="A179" s="20" t="s">
        <v>874</v>
      </c>
      <c r="G179" s="19">
        <f>SUM(H179:AE179)/48</f>
        <v>9.8368348970798056</v>
      </c>
      <c r="H179" s="2">
        <f>H$127*$O$20*H$28^2</f>
        <v>6.3917870910841712</v>
      </c>
      <c r="I179" s="2">
        <f t="shared" ref="I179:AE179" si="45">I$127*$O$20*I$28^2</f>
        <v>18.954080916205282</v>
      </c>
      <c r="J179" s="2">
        <f t="shared" si="45"/>
        <v>31.169105485023806</v>
      </c>
      <c r="K179" s="2">
        <f t="shared" si="45"/>
        <v>42.854806817081112</v>
      </c>
      <c r="L179" s="2">
        <f t="shared" si="45"/>
        <v>53.807997102798964</v>
      </c>
      <c r="M179" s="2">
        <f t="shared" si="45"/>
        <v>63.839457825518721</v>
      </c>
      <c r="N179" s="2">
        <f t="shared" si="45"/>
        <v>72.783609874343028</v>
      </c>
      <c r="O179" s="2">
        <f t="shared" si="45"/>
        <v>80.466012234390092</v>
      </c>
      <c r="P179" s="2">
        <f t="shared" si="45"/>
        <v>0.21696524053414687</v>
      </c>
      <c r="Q179" s="2">
        <f t="shared" si="45"/>
        <v>0.23167338270576018</v>
      </c>
      <c r="R179" s="2">
        <f t="shared" si="45"/>
        <v>0.23718487677211186</v>
      </c>
      <c r="S179" s="2">
        <f t="shared" si="45"/>
        <v>0.24127385568728005</v>
      </c>
      <c r="T179" s="2">
        <f t="shared" si="45"/>
        <v>0.24127385568728005</v>
      </c>
      <c r="U179" s="2">
        <f t="shared" si="45"/>
        <v>0.23718487677211186</v>
      </c>
      <c r="V179" s="2">
        <f t="shared" si="45"/>
        <v>0.23167338270576018</v>
      </c>
      <c r="W179" s="2">
        <f t="shared" si="45"/>
        <v>0.21696524053414687</v>
      </c>
      <c r="X179" s="2">
        <f t="shared" si="45"/>
        <v>0.2011650305859756</v>
      </c>
      <c r="Y179" s="2">
        <f t="shared" si="45"/>
        <v>0.1819590246858579</v>
      </c>
      <c r="Z179" s="2">
        <f t="shared" si="45"/>
        <v>0.15959864456379708</v>
      </c>
      <c r="AA179" s="2">
        <f t="shared" si="45"/>
        <v>0.13451999275699764</v>
      </c>
      <c r="AB179" s="2">
        <f t="shared" si="45"/>
        <v>42.854806817081112</v>
      </c>
      <c r="AC179" s="2">
        <f t="shared" si="45"/>
        <v>31.169105485023806</v>
      </c>
      <c r="AD179" s="2">
        <f t="shared" si="45"/>
        <v>18.954080916205282</v>
      </c>
      <c r="AE179" s="2">
        <f t="shared" si="45"/>
        <v>6.3917870910841712</v>
      </c>
      <c r="AF179" s="2"/>
    </row>
    <row r="180" spans="1:33">
      <c r="A180" s="16"/>
      <c r="B180" s="5" t="s">
        <v>414</v>
      </c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3">
      <c r="A181" s="16"/>
      <c r="B181" s="12" t="s">
        <v>406</v>
      </c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3">
      <c r="A182" s="20" t="s">
        <v>875</v>
      </c>
      <c r="E182" s="12"/>
      <c r="F182" s="6"/>
      <c r="G182" s="19">
        <f>(SUM(H182:AE182)+24*$O$24)/48</f>
        <v>274.20909862274999</v>
      </c>
      <c r="H182" s="2">
        <f>$O$24*(1-H$27)</f>
        <v>365.61213149700001</v>
      </c>
      <c r="I182" s="2">
        <f t="shared" ref="I182:AE182" si="46">$O$24*(1-I$27)</f>
        <v>365.61213149700001</v>
      </c>
      <c r="J182" s="2">
        <f t="shared" si="46"/>
        <v>365.61213149700001</v>
      </c>
      <c r="K182" s="2">
        <f t="shared" si="46"/>
        <v>365.61213149700001</v>
      </c>
      <c r="L182" s="2">
        <f t="shared" si="46"/>
        <v>365.61213149700001</v>
      </c>
      <c r="M182" s="2">
        <f t="shared" si="46"/>
        <v>365.61213149700001</v>
      </c>
      <c r="N182" s="2">
        <f t="shared" si="46"/>
        <v>365.61213149700001</v>
      </c>
      <c r="O182" s="2">
        <f t="shared" si="46"/>
        <v>365.61213149700001</v>
      </c>
      <c r="P182" s="2">
        <f t="shared" si="46"/>
        <v>0</v>
      </c>
      <c r="Q182" s="2">
        <f t="shared" si="46"/>
        <v>0</v>
      </c>
      <c r="R182" s="2">
        <f t="shared" si="46"/>
        <v>0</v>
      </c>
      <c r="S182" s="2">
        <f t="shared" si="46"/>
        <v>0</v>
      </c>
      <c r="T182" s="2">
        <f t="shared" si="46"/>
        <v>0</v>
      </c>
      <c r="U182" s="2">
        <f t="shared" si="46"/>
        <v>0</v>
      </c>
      <c r="V182" s="2">
        <f t="shared" si="46"/>
        <v>0</v>
      </c>
      <c r="W182" s="2">
        <f t="shared" si="46"/>
        <v>0</v>
      </c>
      <c r="X182" s="2">
        <f t="shared" si="46"/>
        <v>0</v>
      </c>
      <c r="Y182" s="2">
        <f t="shared" si="46"/>
        <v>0</v>
      </c>
      <c r="Z182" s="2">
        <f t="shared" si="46"/>
        <v>0</v>
      </c>
      <c r="AA182" s="2">
        <f t="shared" si="46"/>
        <v>0</v>
      </c>
      <c r="AB182" s="2">
        <f t="shared" si="46"/>
        <v>365.61213149700001</v>
      </c>
      <c r="AC182" s="2">
        <f t="shared" si="46"/>
        <v>365.61213149700001</v>
      </c>
      <c r="AD182" s="2">
        <f t="shared" si="46"/>
        <v>365.61213149700001</v>
      </c>
      <c r="AE182" s="2">
        <f t="shared" si="46"/>
        <v>365.61213149700001</v>
      </c>
      <c r="AF182" s="2"/>
    </row>
    <row r="183" spans="1:33">
      <c r="A183" s="20"/>
      <c r="C183" s="5" t="s">
        <v>864</v>
      </c>
      <c r="D183" t="s">
        <v>857</v>
      </c>
      <c r="E183" s="12"/>
      <c r="F183" s="6"/>
      <c r="G183" s="19"/>
      <c r="H183" s="2" t="s">
        <v>860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3">
      <c r="A184" s="20"/>
      <c r="B184" s="12" t="s">
        <v>406</v>
      </c>
      <c r="C184" s="5"/>
      <c r="E184" s="12"/>
      <c r="F184" s="6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3">
      <c r="A185" s="20" t="s">
        <v>430</v>
      </c>
      <c r="E185" s="12">
        <f>$F$7</f>
        <v>-5</v>
      </c>
      <c r="F185" s="6" t="s">
        <v>558</v>
      </c>
      <c r="G185" s="19">
        <f>SUM(H185:AE185)/48</f>
        <v>73.51128940800001</v>
      </c>
      <c r="H185" s="2">
        <f t="shared" ref="H185:AE185" si="47">$M$9*($F$7+273)^4*H$27</f>
        <v>0</v>
      </c>
      <c r="I185" s="2">
        <f t="shared" si="47"/>
        <v>0</v>
      </c>
      <c r="J185" s="2">
        <f t="shared" si="47"/>
        <v>0</v>
      </c>
      <c r="K185" s="2">
        <f t="shared" si="47"/>
        <v>0</v>
      </c>
      <c r="L185" s="2">
        <f t="shared" si="47"/>
        <v>0</v>
      </c>
      <c r="M185" s="2">
        <f t="shared" si="47"/>
        <v>0</v>
      </c>
      <c r="N185" s="2">
        <f t="shared" si="47"/>
        <v>0</v>
      </c>
      <c r="O185" s="2">
        <f t="shared" si="47"/>
        <v>0</v>
      </c>
      <c r="P185" s="2">
        <f t="shared" si="47"/>
        <v>294.04515763199998</v>
      </c>
      <c r="Q185" s="2">
        <f t="shared" si="47"/>
        <v>294.04515763199998</v>
      </c>
      <c r="R185" s="2">
        <f t="shared" si="47"/>
        <v>294.04515763199998</v>
      </c>
      <c r="S185" s="2">
        <f t="shared" si="47"/>
        <v>294.04515763199998</v>
      </c>
      <c r="T185" s="2">
        <f t="shared" si="47"/>
        <v>294.04515763199998</v>
      </c>
      <c r="U185" s="2">
        <f t="shared" si="47"/>
        <v>294.04515763199998</v>
      </c>
      <c r="V185" s="2">
        <f t="shared" si="47"/>
        <v>294.04515763199998</v>
      </c>
      <c r="W185" s="2">
        <f t="shared" si="47"/>
        <v>294.04515763199998</v>
      </c>
      <c r="X185" s="2">
        <f t="shared" si="47"/>
        <v>294.04515763199998</v>
      </c>
      <c r="Y185" s="2">
        <f t="shared" si="47"/>
        <v>294.04515763199998</v>
      </c>
      <c r="Z185" s="2">
        <f t="shared" si="47"/>
        <v>294.04515763199998</v>
      </c>
      <c r="AA185" s="2">
        <f t="shared" si="47"/>
        <v>294.04515763199998</v>
      </c>
      <c r="AB185" s="2">
        <f t="shared" si="47"/>
        <v>0</v>
      </c>
      <c r="AC185" s="2">
        <f t="shared" si="47"/>
        <v>0</v>
      </c>
      <c r="AD185" s="2">
        <f t="shared" si="47"/>
        <v>0</v>
      </c>
      <c r="AE185" s="2">
        <f t="shared" si="47"/>
        <v>0</v>
      </c>
      <c r="AF185" s="2"/>
    </row>
    <row r="186" spans="1:33">
      <c r="A186" s="20"/>
      <c r="B186" t="s">
        <v>865</v>
      </c>
      <c r="D186" t="s">
        <v>743</v>
      </c>
      <c r="E186" s="30"/>
      <c r="F186" s="6"/>
      <c r="G186" s="19"/>
      <c r="H186" t="s">
        <v>617</v>
      </c>
      <c r="I186" s="2"/>
      <c r="K186" s="2" t="s">
        <v>860</v>
      </c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3">
      <c r="A187" s="20"/>
      <c r="B187" s="16" t="s">
        <v>724</v>
      </c>
      <c r="E187" s="30"/>
      <c r="F187" s="6"/>
      <c r="G187" s="32">
        <f>G177+G179+G182+G185</f>
        <v>505.2244048273177</v>
      </c>
      <c r="H187" s="3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3">
      <c r="A188" s="39" t="s">
        <v>501</v>
      </c>
      <c r="B188" s="16"/>
      <c r="E188" s="30"/>
      <c r="F188" s="6"/>
      <c r="G188" s="32"/>
      <c r="H188" s="33"/>
      <c r="I188" s="3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3">
      <c r="A189" s="3" t="s">
        <v>733</v>
      </c>
      <c r="E189" s="12"/>
      <c r="F189" s="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3">
      <c r="A190" s="3" t="s">
        <v>877</v>
      </c>
      <c r="G190" s="19">
        <f>SUM(H190:AE190)/48</f>
        <v>3.3975738804884674</v>
      </c>
      <c r="H190" s="24">
        <f>H$127*H$141*$F$16</f>
        <v>6.1887053259155564</v>
      </c>
      <c r="I190" s="24">
        <f t="shared" ref="I190:AE190" si="48">I$127*I$141*$F$16</f>
        <v>6.7685637891643804</v>
      </c>
      <c r="J190" s="24">
        <f t="shared" si="48"/>
        <v>6.8800124991316505</v>
      </c>
      <c r="K190" s="24">
        <f t="shared" si="48"/>
        <v>6.9529456352192822</v>
      </c>
      <c r="L190" s="24">
        <f t="shared" si="48"/>
        <v>6.8175072164468631</v>
      </c>
      <c r="M190" s="24">
        <f t="shared" si="48"/>
        <v>6.8523287750022472</v>
      </c>
      <c r="N190" s="24">
        <f t="shared" si="48"/>
        <v>6.8531325681989061</v>
      </c>
      <c r="O190" s="24">
        <f t="shared" si="48"/>
        <v>6.8078785992631694</v>
      </c>
      <c r="P190" s="24">
        <f t="shared" si="48"/>
        <v>6.8839867407199851</v>
      </c>
      <c r="Q190" s="24">
        <f t="shared" si="48"/>
        <v>6.872652894935201</v>
      </c>
      <c r="R190" s="24">
        <f t="shared" si="48"/>
        <v>6.8460905044206974</v>
      </c>
      <c r="S190" s="24">
        <f t="shared" si="48"/>
        <v>6.8179685833052774</v>
      </c>
      <c r="T190" s="24">
        <f t="shared" si="48"/>
        <v>6.8179685833052774</v>
      </c>
      <c r="U190" s="24">
        <f t="shared" si="48"/>
        <v>6.8460905044206974</v>
      </c>
      <c r="V190" s="24">
        <f t="shared" si="48"/>
        <v>6.872652894935201</v>
      </c>
      <c r="W190" s="24">
        <f t="shared" si="48"/>
        <v>6.8839867407199851</v>
      </c>
      <c r="X190" s="24">
        <f t="shared" si="48"/>
        <v>6.8078785992631694</v>
      </c>
      <c r="Y190" s="24">
        <f t="shared" si="48"/>
        <v>6.8531325681989061</v>
      </c>
      <c r="Z190" s="24">
        <f t="shared" si="48"/>
        <v>6.8523287750022472</v>
      </c>
      <c r="AA190" s="24">
        <f t="shared" si="48"/>
        <v>6.8175072164468631</v>
      </c>
      <c r="AB190" s="24">
        <f t="shared" si="48"/>
        <v>6.9529456352192822</v>
      </c>
      <c r="AC190" s="24">
        <f t="shared" si="48"/>
        <v>6.8800124991316505</v>
      </c>
      <c r="AD190" s="24">
        <f t="shared" si="48"/>
        <v>6.7685637891643804</v>
      </c>
      <c r="AE190" s="24">
        <f t="shared" si="48"/>
        <v>6.1887053259155564</v>
      </c>
      <c r="AF190" s="2"/>
    </row>
    <row r="191" spans="1:33">
      <c r="B191" s="5" t="s">
        <v>409</v>
      </c>
      <c r="D191" t="s">
        <v>417</v>
      </c>
      <c r="G191" t="s">
        <v>866</v>
      </c>
      <c r="J191" s="2"/>
      <c r="K191" s="2" t="s">
        <v>1027</v>
      </c>
      <c r="L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3">
      <c r="A192" t="s">
        <v>879</v>
      </c>
      <c r="C192" s="11"/>
      <c r="G192" s="98">
        <f>SUM(H192:AE192)/48</f>
        <v>305.32855781947018</v>
      </c>
      <c r="H192" s="97">
        <f>H$127*(1-($F$16+$F$13)*H$141)</f>
        <v>57.605391478407839</v>
      </c>
      <c r="I192" s="97">
        <f t="shared" ref="I192:AE192" si="49">I$127*(1-($F$16+$F$13)*I$141)</f>
        <v>182.63687409710514</v>
      </c>
      <c r="J192" s="97">
        <f t="shared" si="49"/>
        <v>304.67344210112378</v>
      </c>
      <c r="K192" s="97">
        <f t="shared" si="49"/>
        <v>421.45606362288743</v>
      </c>
      <c r="L192" s="97">
        <f t="shared" si="49"/>
        <v>531.12611366721376</v>
      </c>
      <c r="M192" s="97">
        <f t="shared" si="49"/>
        <v>631.40520290468487</v>
      </c>
      <c r="N192" s="97">
        <f t="shared" si="49"/>
        <v>720.84590352386738</v>
      </c>
      <c r="O192" s="97">
        <f t="shared" si="49"/>
        <v>797.71608617265247</v>
      </c>
      <c r="P192" s="97">
        <f t="shared" si="49"/>
        <v>860.83929566105155</v>
      </c>
      <c r="Q192" s="97">
        <f t="shared" si="49"/>
        <v>919.68342487020516</v>
      </c>
      <c r="R192" s="97">
        <f t="shared" si="49"/>
        <v>941.75649477393665</v>
      </c>
      <c r="S192" s="97">
        <f t="shared" si="49"/>
        <v>958.14109479414719</v>
      </c>
      <c r="T192" s="97">
        <f t="shared" si="49"/>
        <v>958.14109479414719</v>
      </c>
      <c r="U192" s="97">
        <f t="shared" si="49"/>
        <v>941.75649477393665</v>
      </c>
      <c r="V192" s="97">
        <f t="shared" si="49"/>
        <v>919.68342487020516</v>
      </c>
      <c r="W192" s="97">
        <f t="shared" si="49"/>
        <v>860.83929566105155</v>
      </c>
      <c r="X192" s="97">
        <f t="shared" si="49"/>
        <v>797.71608617265247</v>
      </c>
      <c r="Y192" s="97">
        <f t="shared" si="49"/>
        <v>720.84590352386738</v>
      </c>
      <c r="Z192" s="97">
        <f t="shared" si="49"/>
        <v>631.40520290468487</v>
      </c>
      <c r="AA192" s="97">
        <f t="shared" si="49"/>
        <v>531.12611366721376</v>
      </c>
      <c r="AB192" s="97">
        <f t="shared" si="49"/>
        <v>421.45606362288743</v>
      </c>
      <c r="AC192" s="97">
        <f t="shared" si="49"/>
        <v>304.67344210112378</v>
      </c>
      <c r="AD192" s="97">
        <f t="shared" si="49"/>
        <v>182.63687409710514</v>
      </c>
      <c r="AE192" s="97">
        <f t="shared" si="49"/>
        <v>57.605391478407839</v>
      </c>
      <c r="AF192" s="28"/>
      <c r="AG192" s="11"/>
    </row>
    <row r="193" spans="1:33">
      <c r="B193" s="24" t="s">
        <v>410</v>
      </c>
      <c r="D193" s="2" t="s">
        <v>411</v>
      </c>
      <c r="E193" s="24" t="s">
        <v>880</v>
      </c>
      <c r="G193" t="s">
        <v>853</v>
      </c>
      <c r="I193" t="s">
        <v>950</v>
      </c>
      <c r="AF193" s="28"/>
      <c r="AG193" s="11"/>
    </row>
    <row r="194" spans="1:33">
      <c r="A194" t="s">
        <v>878</v>
      </c>
      <c r="C194" s="11"/>
      <c r="D194" s="24"/>
      <c r="G194" s="97">
        <f>SUM(H194:AE194)/48</f>
        <v>156.05702986278575</v>
      </c>
      <c r="H194" s="97">
        <f>H192*($O$20*(1-H$27)+$F$15*H$27)</f>
        <v>5.7605391478407846</v>
      </c>
      <c r="I194" s="97">
        <f t="shared" ref="I194:AE194" si="50">I192*($O$20*(1-I$27)+$F$15*I$27)</f>
        <v>18.263687409710514</v>
      </c>
      <c r="J194" s="97">
        <f t="shared" si="50"/>
        <v>30.46734421011238</v>
      </c>
      <c r="K194" s="97">
        <f t="shared" si="50"/>
        <v>42.145606362288746</v>
      </c>
      <c r="L194" s="97">
        <f t="shared" si="50"/>
        <v>53.112611366721382</v>
      </c>
      <c r="M194" s="97">
        <f t="shared" si="50"/>
        <v>63.140520290468487</v>
      </c>
      <c r="N194" s="97">
        <f t="shared" si="50"/>
        <v>72.084590352386741</v>
      </c>
      <c r="O194" s="97">
        <f t="shared" si="50"/>
        <v>79.771608617265258</v>
      </c>
      <c r="P194" s="97">
        <f t="shared" si="50"/>
        <v>602.58750696273603</v>
      </c>
      <c r="Q194" s="97">
        <f t="shared" si="50"/>
        <v>643.77839740914362</v>
      </c>
      <c r="R194" s="97">
        <f t="shared" si="50"/>
        <v>659.22954634175562</v>
      </c>
      <c r="S194" s="97">
        <f t="shared" si="50"/>
        <v>670.69876635590299</v>
      </c>
      <c r="T194" s="97">
        <f t="shared" si="50"/>
        <v>670.69876635590299</v>
      </c>
      <c r="U194" s="97">
        <f t="shared" si="50"/>
        <v>659.22954634175562</v>
      </c>
      <c r="V194" s="97">
        <f t="shared" si="50"/>
        <v>643.77839740914362</v>
      </c>
      <c r="W194" s="97">
        <f t="shared" si="50"/>
        <v>602.58750696273603</v>
      </c>
      <c r="X194" s="97">
        <f t="shared" si="50"/>
        <v>558.40126032085664</v>
      </c>
      <c r="Y194" s="97">
        <f t="shared" si="50"/>
        <v>504.59213246670714</v>
      </c>
      <c r="Z194" s="97">
        <f t="shared" si="50"/>
        <v>441.98364203327941</v>
      </c>
      <c r="AA194" s="97">
        <f t="shared" si="50"/>
        <v>371.78827956704959</v>
      </c>
      <c r="AB194" s="97">
        <f t="shared" si="50"/>
        <v>42.145606362288746</v>
      </c>
      <c r="AC194" s="97">
        <f t="shared" si="50"/>
        <v>30.46734421011238</v>
      </c>
      <c r="AD194" s="97">
        <f t="shared" si="50"/>
        <v>18.263687409710514</v>
      </c>
      <c r="AE194" s="97">
        <f t="shared" si="50"/>
        <v>5.7605391478407846</v>
      </c>
      <c r="AF194" s="28"/>
      <c r="AG194" s="11"/>
    </row>
    <row r="195" spans="1:33">
      <c r="B195" s="24" t="s">
        <v>917</v>
      </c>
      <c r="D195" s="14" t="s">
        <v>852</v>
      </c>
      <c r="G195" t="s">
        <v>888</v>
      </c>
      <c r="I195" s="24" t="s">
        <v>889</v>
      </c>
      <c r="M195" s="2" t="s">
        <v>860</v>
      </c>
      <c r="AF195" s="28"/>
      <c r="AG195" s="11"/>
    </row>
    <row r="196" spans="1:33" ht="18">
      <c r="A196" s="20" t="s">
        <v>881</v>
      </c>
      <c r="G196" s="19">
        <f>SUM(H196:AE196)/48</f>
        <v>144.91184313207484</v>
      </c>
      <c r="H196" s="2">
        <f>H$127*H$27*$F$15*(1-H$141*$F$16)*(1-$H$142*$F$16)</f>
        <v>0</v>
      </c>
      <c r="I196" s="2">
        <f t="shared" ref="I196:AE196" si="51">I$127*I$27*$F$15*(1-I$141*$F$16)*(1-$H$142*$F$16)</f>
        <v>0</v>
      </c>
      <c r="J196" s="2">
        <f t="shared" si="51"/>
        <v>0</v>
      </c>
      <c r="K196" s="2">
        <f t="shared" si="51"/>
        <v>0</v>
      </c>
      <c r="L196" s="2">
        <f t="shared" si="51"/>
        <v>0</v>
      </c>
      <c r="M196" s="2">
        <f t="shared" si="51"/>
        <v>0</v>
      </c>
      <c r="N196" s="2">
        <f t="shared" si="51"/>
        <v>0</v>
      </c>
      <c r="O196" s="2">
        <f t="shared" si="51"/>
        <v>0</v>
      </c>
      <c r="P196" s="2">
        <f t="shared" si="51"/>
        <v>596.27723048410621</v>
      </c>
      <c r="Q196" s="2">
        <f t="shared" si="51"/>
        <v>637.03009639746801</v>
      </c>
      <c r="R196" s="2">
        <f t="shared" si="51"/>
        <v>652.31662855293541</v>
      </c>
      <c r="S196" s="2">
        <f t="shared" si="51"/>
        <v>663.66353890315042</v>
      </c>
      <c r="T196" s="2">
        <f t="shared" si="51"/>
        <v>663.66353890315042</v>
      </c>
      <c r="U196" s="2">
        <f t="shared" si="51"/>
        <v>652.31662855293541</v>
      </c>
      <c r="V196" s="2">
        <f t="shared" si="51"/>
        <v>637.03009639746801</v>
      </c>
      <c r="W196" s="2">
        <f t="shared" si="51"/>
        <v>596.27723048410621</v>
      </c>
      <c r="X196" s="2">
        <f t="shared" si="51"/>
        <v>552.55963844659505</v>
      </c>
      <c r="Y196" s="2">
        <f t="shared" si="51"/>
        <v>499.32313939001443</v>
      </c>
      <c r="Z196" s="2">
        <f t="shared" si="51"/>
        <v>437.38017881442562</v>
      </c>
      <c r="AA196" s="2">
        <f t="shared" si="51"/>
        <v>367.93052501323655</v>
      </c>
      <c r="AB196" s="2">
        <f t="shared" si="51"/>
        <v>0</v>
      </c>
      <c r="AC196" s="2">
        <f t="shared" si="51"/>
        <v>0</v>
      </c>
      <c r="AD196" s="2">
        <f t="shared" si="51"/>
        <v>0</v>
      </c>
      <c r="AE196" s="2">
        <f t="shared" si="51"/>
        <v>0</v>
      </c>
      <c r="AF196" s="2"/>
    </row>
    <row r="197" spans="1:33">
      <c r="B197" s="5" t="s">
        <v>412</v>
      </c>
      <c r="C197" s="11"/>
      <c r="D197" t="s">
        <v>417</v>
      </c>
      <c r="E197" s="12"/>
      <c r="F197" s="18"/>
      <c r="G197" s="2" t="s">
        <v>860</v>
      </c>
      <c r="I197" s="2" t="s">
        <v>867</v>
      </c>
      <c r="K197" s="9"/>
      <c r="AF197" s="2"/>
    </row>
    <row r="198" spans="1:33">
      <c r="A198" s="11" t="s">
        <v>568</v>
      </c>
      <c r="B198" t="s">
        <v>883</v>
      </c>
      <c r="C198" s="11"/>
      <c r="E198" s="12"/>
      <c r="F198" s="18"/>
      <c r="G198" s="2" t="s">
        <v>245</v>
      </c>
      <c r="H198" s="2"/>
      <c r="J198" t="s">
        <v>868</v>
      </c>
      <c r="AF198" s="2"/>
    </row>
    <row r="199" spans="1:33">
      <c r="A199" s="11"/>
      <c r="B199" t="s">
        <v>426</v>
      </c>
      <c r="C199" s="11"/>
      <c r="E199" s="12"/>
      <c r="F199" s="18"/>
      <c r="G199" s="19"/>
      <c r="I199" s="12" t="s">
        <v>406</v>
      </c>
      <c r="K199" s="11"/>
      <c r="AF199" s="2"/>
    </row>
    <row r="200" spans="1:33">
      <c r="A200" s="11"/>
      <c r="B200" s="2" t="s">
        <v>247</v>
      </c>
      <c r="C200" s="11"/>
      <c r="E200" s="12"/>
      <c r="F200" s="18"/>
      <c r="G200" s="19"/>
      <c r="H200" s="2"/>
      <c r="K200" s="11"/>
      <c r="L200" s="12"/>
      <c r="AF200" s="2"/>
    </row>
    <row r="201" spans="1:33" ht="18">
      <c r="A201" s="20" t="s">
        <v>882</v>
      </c>
      <c r="G201" s="19">
        <f>SUM(H201:AE201)/48</f>
        <v>9.5650705805583325</v>
      </c>
      <c r="H201" s="2">
        <f>H$127*$O$20*H$28^2*(1-H$141*$F$16)*(1-$H$142*$F$16)</f>
        <v>5.711549280946814</v>
      </c>
      <c r="I201" s="2">
        <f t="shared" ref="I201:AB201" si="52">I$127*$O$20*I$28^2*(1-I$141*$F$16)*(1-$H$142*$F$16)</f>
        <v>18.082933921863841</v>
      </c>
      <c r="J201" s="2">
        <f t="shared" si="52"/>
        <v>30.157083895556838</v>
      </c>
      <c r="K201" s="2">
        <f>K$127*$O$20*K$28^2*(1-K$141*$F$16)*(1-$H$142*$F$16)</f>
        <v>41.711348060738196</v>
      </c>
      <c r="L201" s="2">
        <f t="shared" si="52"/>
        <v>52.561503573319513</v>
      </c>
      <c r="M201" s="2">
        <f t="shared" si="52"/>
        <v>62.482882687775088</v>
      </c>
      <c r="N201" s="2">
        <f t="shared" si="52"/>
        <v>71.331877055716348</v>
      </c>
      <c r="O201" s="2">
        <f t="shared" si="52"/>
        <v>78.937091206656447</v>
      </c>
      <c r="P201" s="2">
        <f t="shared" si="52"/>
        <v>0.21295615374432403</v>
      </c>
      <c r="Q201" s="2">
        <f t="shared" si="52"/>
        <v>0.22751074871338184</v>
      </c>
      <c r="R201" s="2">
        <f t="shared" si="52"/>
        <v>0.23297022448319168</v>
      </c>
      <c r="S201" s="2">
        <f t="shared" si="52"/>
        <v>0.23702269246541133</v>
      </c>
      <c r="T201" s="2">
        <f t="shared" si="52"/>
        <v>0.23702269246541133</v>
      </c>
      <c r="U201" s="2">
        <f t="shared" si="52"/>
        <v>0.23297022448319168</v>
      </c>
      <c r="V201" s="2">
        <f t="shared" si="52"/>
        <v>0.22751074871338184</v>
      </c>
      <c r="W201" s="2">
        <f t="shared" si="52"/>
        <v>0.21295615374432403</v>
      </c>
      <c r="X201" s="2">
        <f t="shared" si="52"/>
        <v>0.19734272801664149</v>
      </c>
      <c r="Y201" s="2">
        <f t="shared" si="52"/>
        <v>0.17832969263929122</v>
      </c>
      <c r="Z201" s="2">
        <f t="shared" si="52"/>
        <v>0.15620720671943797</v>
      </c>
      <c r="AA201" s="2">
        <f t="shared" si="52"/>
        <v>0.131403758933299</v>
      </c>
      <c r="AB201" s="2">
        <f t="shared" si="52"/>
        <v>41.711348060738196</v>
      </c>
      <c r="AC201" s="2">
        <f>AC$127*$O$20*AC$28^2*(1-AC$141*$F$16)*(1-$H$142*$F$16)</f>
        <v>30.157083895556838</v>
      </c>
      <c r="AD201" s="2">
        <f>AD$127*$O$20*AD$28^2*(1-AD$141*$F$16)*(1-$H$142*$F$16)</f>
        <v>18.082933921863841</v>
      </c>
      <c r="AE201" s="2">
        <f>AE$127*$O$20*AE$28^2*(1-AE$141*$F$16)*(1-$H$142*$F$16)</f>
        <v>5.711549280946814</v>
      </c>
      <c r="AF201" s="2"/>
    </row>
    <row r="202" spans="1:33">
      <c r="A202" s="14"/>
      <c r="B202" s="5" t="s">
        <v>414</v>
      </c>
      <c r="G202" s="2"/>
      <c r="H202" s="2"/>
      <c r="I202" s="2"/>
      <c r="J202" s="10"/>
      <c r="K202" s="9"/>
      <c r="AF202" s="2"/>
    </row>
    <row r="203" spans="1:33">
      <c r="A203" s="11" t="s">
        <v>568</v>
      </c>
      <c r="B203" t="s">
        <v>429</v>
      </c>
      <c r="C203" s="11"/>
      <c r="E203" s="12"/>
      <c r="F203" s="18"/>
      <c r="G203" s="2" t="s">
        <v>245</v>
      </c>
      <c r="H203" s="2"/>
      <c r="J203" s="11"/>
      <c r="K203" t="s">
        <v>868</v>
      </c>
      <c r="M203" s="10"/>
      <c r="N203" s="10"/>
      <c r="AF203" s="2"/>
    </row>
    <row r="204" spans="1:33">
      <c r="A204" s="11"/>
      <c r="B204" t="s">
        <v>246</v>
      </c>
      <c r="C204" s="11"/>
      <c r="E204" s="12"/>
      <c r="F204" s="18"/>
      <c r="G204" s="19"/>
      <c r="H204" s="2"/>
      <c r="J204" s="11"/>
      <c r="M204" s="10"/>
      <c r="N204" s="10"/>
      <c r="AF204" s="2"/>
    </row>
    <row r="205" spans="1:33">
      <c r="A205" t="s">
        <v>834</v>
      </c>
      <c r="B205" s="5"/>
      <c r="C205" s="11"/>
      <c r="D205" s="5" t="s">
        <v>1025</v>
      </c>
      <c r="F205" t="s">
        <v>916</v>
      </c>
      <c r="G205" s="97">
        <f>SUM(H205:AE205)/48</f>
        <v>1.658917978032165</v>
      </c>
      <c r="H205" s="97">
        <f>H194*$H$142*$F$16</f>
        <v>6.1235703152325627E-2</v>
      </c>
      <c r="I205" s="97">
        <f t="shared" ref="I205:AE205" si="53">I194*$H$142*$F$16</f>
        <v>0.1941467130046507</v>
      </c>
      <c r="J205" s="97">
        <f t="shared" si="53"/>
        <v>0.32387406768852228</v>
      </c>
      <c r="K205" s="97">
        <f t="shared" si="53"/>
        <v>0.44801637036756253</v>
      </c>
      <c r="L205" s="97">
        <f t="shared" si="53"/>
        <v>0.56459786485722863</v>
      </c>
      <c r="M205" s="97">
        <f t="shared" si="53"/>
        <v>0.67119657694536794</v>
      </c>
      <c r="N205" s="97">
        <f t="shared" si="53"/>
        <v>0.76627386141977705</v>
      </c>
      <c r="O205" s="97">
        <f t="shared" si="53"/>
        <v>0.84798842953811815</v>
      </c>
      <c r="P205" s="97">
        <f t="shared" si="53"/>
        <v>6.4056277984850052</v>
      </c>
      <c r="Q205" s="97">
        <f t="shared" si="53"/>
        <v>6.8434953444249773</v>
      </c>
      <c r="R205" s="97">
        <f t="shared" si="53"/>
        <v>7.0077442011929154</v>
      </c>
      <c r="S205" s="97">
        <f t="shared" si="53"/>
        <v>7.1296643434140288</v>
      </c>
      <c r="T205" s="97">
        <f t="shared" si="53"/>
        <v>7.1296643434140288</v>
      </c>
      <c r="U205" s="97">
        <f t="shared" si="53"/>
        <v>7.0077442011929154</v>
      </c>
      <c r="V205" s="97">
        <f t="shared" si="53"/>
        <v>6.8434953444249773</v>
      </c>
      <c r="W205" s="97">
        <f t="shared" si="53"/>
        <v>6.4056277984850052</v>
      </c>
      <c r="X205" s="97">
        <f t="shared" si="53"/>
        <v>5.9359190067668255</v>
      </c>
      <c r="Y205" s="97">
        <f t="shared" si="53"/>
        <v>5.3639170299384391</v>
      </c>
      <c r="Z205" s="97">
        <f t="shared" si="53"/>
        <v>4.6983760386175755</v>
      </c>
      <c r="AA205" s="97">
        <f t="shared" si="53"/>
        <v>3.9521850540005996</v>
      </c>
      <c r="AB205" s="97">
        <f t="shared" si="53"/>
        <v>0.44801637036756253</v>
      </c>
      <c r="AC205" s="97">
        <f t="shared" si="53"/>
        <v>0.32387406768852228</v>
      </c>
      <c r="AD205" s="97">
        <f t="shared" si="53"/>
        <v>0.1941467130046507</v>
      </c>
      <c r="AE205" s="97">
        <f t="shared" si="53"/>
        <v>6.1235703152325627E-2</v>
      </c>
      <c r="AF205" s="28"/>
      <c r="AG205" s="11"/>
    </row>
    <row r="206" spans="1:33">
      <c r="A206" t="s">
        <v>918</v>
      </c>
      <c r="B206" s="5"/>
      <c r="C206" s="11"/>
      <c r="D206" s="104" t="s">
        <v>1095</v>
      </c>
      <c r="G206" s="97">
        <f>SUM(H206:AE206)/48</f>
        <v>1.0999350541076824</v>
      </c>
      <c r="H206" s="97">
        <f>H205*($O$20*(1-H$27)+$F$15*H$27)</f>
        <v>6.1235703152325632E-3</v>
      </c>
      <c r="I206" s="97">
        <f t="shared" ref="I206:AE206" si="54">I205*($O$20*(1-I$27)+$F$15*I$27)</f>
        <v>1.9414671300465071E-2</v>
      </c>
      <c r="J206" s="97">
        <f t="shared" si="54"/>
        <v>3.2387406768852232E-2</v>
      </c>
      <c r="K206" s="97">
        <f t="shared" si="54"/>
        <v>4.4801637036756256E-2</v>
      </c>
      <c r="L206" s="97">
        <f t="shared" si="54"/>
        <v>5.6459786485722863E-2</v>
      </c>
      <c r="M206" s="97">
        <f t="shared" si="54"/>
        <v>6.7119657694536802E-2</v>
      </c>
      <c r="N206" s="97">
        <f t="shared" si="54"/>
        <v>7.6627386141977713E-2</v>
      </c>
      <c r="O206" s="97">
        <f t="shared" si="54"/>
        <v>8.479884295381182E-2</v>
      </c>
      <c r="P206" s="97">
        <f t="shared" si="54"/>
        <v>4.4839394589395036</v>
      </c>
      <c r="Q206" s="97">
        <f t="shared" si="54"/>
        <v>4.790446741097484</v>
      </c>
      <c r="R206" s="97">
        <f t="shared" si="54"/>
        <v>4.9054209408350404</v>
      </c>
      <c r="S206" s="97">
        <f t="shared" si="54"/>
        <v>4.9907650403898201</v>
      </c>
      <c r="T206" s="97">
        <f t="shared" si="54"/>
        <v>4.9907650403898201</v>
      </c>
      <c r="U206" s="97">
        <f t="shared" si="54"/>
        <v>4.9054209408350404</v>
      </c>
      <c r="V206" s="97">
        <f t="shared" si="54"/>
        <v>4.790446741097484</v>
      </c>
      <c r="W206" s="97">
        <f t="shared" si="54"/>
        <v>4.4839394589395036</v>
      </c>
      <c r="X206" s="97">
        <f t="shared" si="54"/>
        <v>4.1551433047367778</v>
      </c>
      <c r="Y206" s="97">
        <f t="shared" si="54"/>
        <v>3.7547419209569073</v>
      </c>
      <c r="Z206" s="97">
        <f t="shared" si="54"/>
        <v>3.2888632270323028</v>
      </c>
      <c r="AA206" s="97">
        <f t="shared" si="54"/>
        <v>2.7665295378004195</v>
      </c>
      <c r="AB206" s="97">
        <f t="shared" si="54"/>
        <v>4.4801637036756256E-2</v>
      </c>
      <c r="AC206" s="97">
        <f t="shared" si="54"/>
        <v>3.2387406768852232E-2</v>
      </c>
      <c r="AD206" s="97">
        <f t="shared" si="54"/>
        <v>1.9414671300465071E-2</v>
      </c>
      <c r="AE206" s="97">
        <f t="shared" si="54"/>
        <v>6.1235703152325632E-3</v>
      </c>
      <c r="AF206" s="28"/>
      <c r="AG206" s="11"/>
    </row>
    <row r="207" spans="1:33">
      <c r="A207" s="20" t="s">
        <v>427</v>
      </c>
      <c r="B207" s="5"/>
      <c r="C207" s="11"/>
      <c r="G207" s="19">
        <f>SUM(H207:AE207)/48</f>
        <v>1.0880086700269269</v>
      </c>
      <c r="H207" s="24">
        <f>H206*(1-($F$16+$F$13)*$H$142)</f>
        <v>6.0571736209438943E-3</v>
      </c>
      <c r="I207" s="24">
        <f t="shared" ref="I207:AE207" si="55">I206*(1-($F$16+$F$13)*$H$142)</f>
        <v>1.9204161756409478E-2</v>
      </c>
      <c r="J207" s="24">
        <f t="shared" si="55"/>
        <v>3.2036236351051198E-2</v>
      </c>
      <c r="K207" s="24">
        <f t="shared" si="55"/>
        <v>4.4315861509599853E-2</v>
      </c>
      <c r="L207" s="24">
        <f t="shared" si="55"/>
        <v>5.5847603888003534E-2</v>
      </c>
      <c r="M207" s="24">
        <f t="shared" si="55"/>
        <v>6.6391892165068064E-2</v>
      </c>
      <c r="N207" s="24">
        <f t="shared" si="55"/>
        <v>7.5796530142961491E-2</v>
      </c>
      <c r="O207" s="24">
        <f t="shared" si="55"/>
        <v>8.3879385421392963E-2</v>
      </c>
      <c r="P207" s="24">
        <f t="shared" si="55"/>
        <v>4.4353209664362785</v>
      </c>
      <c r="Q207" s="24">
        <f t="shared" si="55"/>
        <v>4.73850484912907</v>
      </c>
      <c r="R207" s="24">
        <f t="shared" si="55"/>
        <v>4.8522324057486284</v>
      </c>
      <c r="S207" s="24">
        <f t="shared" si="55"/>
        <v>4.9366511356586136</v>
      </c>
      <c r="T207" s="24">
        <f t="shared" si="55"/>
        <v>4.9366511356586136</v>
      </c>
      <c r="U207" s="24">
        <f t="shared" si="55"/>
        <v>4.8522324057486284</v>
      </c>
      <c r="V207" s="24">
        <f t="shared" si="55"/>
        <v>4.73850484912907</v>
      </c>
      <c r="W207" s="24">
        <f t="shared" si="55"/>
        <v>4.4353209664362785</v>
      </c>
      <c r="X207" s="24">
        <f t="shared" si="55"/>
        <v>4.1100898856482537</v>
      </c>
      <c r="Y207" s="24">
        <f t="shared" si="55"/>
        <v>3.7140299770051124</v>
      </c>
      <c r="Z207" s="24">
        <f t="shared" si="55"/>
        <v>3.2532027160883348</v>
      </c>
      <c r="AA207" s="24">
        <f t="shared" si="55"/>
        <v>2.7365325905121725</v>
      </c>
      <c r="AB207" s="24">
        <f t="shared" si="55"/>
        <v>4.4315861509599853E-2</v>
      </c>
      <c r="AC207" s="24">
        <f t="shared" si="55"/>
        <v>3.2036236351051198E-2</v>
      </c>
      <c r="AD207" s="24">
        <f t="shared" si="55"/>
        <v>1.9204161756409478E-2</v>
      </c>
      <c r="AE207" s="24">
        <f t="shared" si="55"/>
        <v>6.0571736209438943E-3</v>
      </c>
      <c r="AF207" s="28"/>
      <c r="AG207" s="11"/>
    </row>
    <row r="208" spans="1:33">
      <c r="A208" s="20"/>
      <c r="B208" s="24" t="s">
        <v>1020</v>
      </c>
      <c r="C208" s="11"/>
      <c r="G208" s="19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8"/>
      <c r="AG208" s="11"/>
    </row>
    <row r="209" spans="1:33">
      <c r="A209" s="100" t="s">
        <v>428</v>
      </c>
      <c r="B209" s="5"/>
      <c r="C209" s="11"/>
      <c r="G209" s="19">
        <f>SUM(H209:AE209)/48</f>
        <v>8.0256586571083744E-3</v>
      </c>
      <c r="H209" s="2">
        <f>H207^2/(H196+H201)</f>
        <v>6.4237128088259273E-6</v>
      </c>
      <c r="I209" s="2">
        <f t="shared" ref="I209:AE209" si="56">I207^2/(I196+I201)</f>
        <v>2.0394911044851479E-5</v>
      </c>
      <c r="J209" s="2">
        <f t="shared" si="56"/>
        <v>3.4032482818792232E-5</v>
      </c>
      <c r="K209" s="2">
        <f t="shared" si="56"/>
        <v>4.7083004329620256E-5</v>
      </c>
      <c r="L209" s="2">
        <f t="shared" si="56"/>
        <v>5.933914838795717E-5</v>
      </c>
      <c r="M209" s="2">
        <f t="shared" si="56"/>
        <v>7.0545454301205578E-5</v>
      </c>
      <c r="N209" s="2">
        <f t="shared" si="56"/>
        <v>8.0540625297515167E-5</v>
      </c>
      <c r="O209" s="2">
        <f t="shared" si="56"/>
        <v>8.913111936505324E-5</v>
      </c>
      <c r="P209" s="2">
        <f t="shared" si="56"/>
        <v>3.2979707824183919E-2</v>
      </c>
      <c r="Q209" s="2">
        <f t="shared" si="56"/>
        <v>3.5234460841938743E-2</v>
      </c>
      <c r="R209" s="2">
        <f t="shared" si="56"/>
        <v>3.6080260203221602E-2</v>
      </c>
      <c r="S209" s="2">
        <f t="shared" si="56"/>
        <v>3.6708094321576505E-2</v>
      </c>
      <c r="T209" s="2">
        <f t="shared" si="56"/>
        <v>3.6708094321576505E-2</v>
      </c>
      <c r="U209" s="2">
        <f t="shared" si="56"/>
        <v>3.6080260203221602E-2</v>
      </c>
      <c r="V209" s="2">
        <f t="shared" si="56"/>
        <v>3.5234460841938743E-2</v>
      </c>
      <c r="W209" s="2">
        <f t="shared" si="56"/>
        <v>3.2979707824183919E-2</v>
      </c>
      <c r="X209" s="2">
        <f t="shared" si="56"/>
        <v>3.056105927818532E-2</v>
      </c>
      <c r="Y209" s="2">
        <f t="shared" si="56"/>
        <v>2.7615571772843107E-2</v>
      </c>
      <c r="Z209" s="2">
        <f t="shared" si="56"/>
        <v>2.4188452092423353E-2</v>
      </c>
      <c r="AA209" s="2">
        <f t="shared" si="56"/>
        <v>2.0346061446552675E-2</v>
      </c>
      <c r="AB209" s="2">
        <f t="shared" si="56"/>
        <v>4.7083004329620256E-5</v>
      </c>
      <c r="AC209" s="2">
        <f t="shared" si="56"/>
        <v>3.4032482818792232E-5</v>
      </c>
      <c r="AD209" s="2">
        <f t="shared" si="56"/>
        <v>2.0394911044851479E-5</v>
      </c>
      <c r="AE209" s="2">
        <f t="shared" si="56"/>
        <v>6.4237128088259273E-6</v>
      </c>
      <c r="AF209" s="28"/>
      <c r="AG209" s="11"/>
    </row>
    <row r="210" spans="1:33" ht="18">
      <c r="A210" s="100"/>
      <c r="B210" s="24" t="s">
        <v>919</v>
      </c>
      <c r="C210" s="11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8"/>
      <c r="AG210" s="11"/>
    </row>
    <row r="211" spans="1:33" ht="18">
      <c r="A211" s="20" t="s">
        <v>890</v>
      </c>
      <c r="G211" s="19">
        <f>(SUM(H211:AE211)+24*$O$24*(1-$H$142))/48</f>
        <v>268.37930160757878</v>
      </c>
      <c r="H211" s="2">
        <f>$O$24*(1-H$27)*(1-$H$142)</f>
        <v>357.83906881010506</v>
      </c>
      <c r="I211" s="2">
        <f t="shared" ref="I211:AE211" si="57">$O$24*(1-I$27)*(1-$H$142)</f>
        <v>357.83906881010506</v>
      </c>
      <c r="J211" s="2">
        <f t="shared" si="57"/>
        <v>357.83906881010506</v>
      </c>
      <c r="K211" s="2">
        <f t="shared" si="57"/>
        <v>357.83906881010506</v>
      </c>
      <c r="L211" s="2">
        <f t="shared" si="57"/>
        <v>357.83906881010506</v>
      </c>
      <c r="M211" s="2">
        <f t="shared" si="57"/>
        <v>357.83906881010506</v>
      </c>
      <c r="N211" s="2">
        <f t="shared" si="57"/>
        <v>357.83906881010506</v>
      </c>
      <c r="O211" s="2">
        <f t="shared" si="57"/>
        <v>357.83906881010506</v>
      </c>
      <c r="P211" s="2">
        <f t="shared" si="57"/>
        <v>0</v>
      </c>
      <c r="Q211" s="2">
        <f t="shared" si="57"/>
        <v>0</v>
      </c>
      <c r="R211" s="2">
        <f t="shared" si="57"/>
        <v>0</v>
      </c>
      <c r="S211" s="2">
        <f t="shared" si="57"/>
        <v>0</v>
      </c>
      <c r="T211" s="2">
        <f t="shared" si="57"/>
        <v>0</v>
      </c>
      <c r="U211" s="2">
        <f t="shared" si="57"/>
        <v>0</v>
      </c>
      <c r="V211" s="2">
        <f t="shared" si="57"/>
        <v>0</v>
      </c>
      <c r="W211" s="2">
        <f t="shared" si="57"/>
        <v>0</v>
      </c>
      <c r="X211" s="2">
        <f t="shared" si="57"/>
        <v>0</v>
      </c>
      <c r="Y211" s="2">
        <f t="shared" si="57"/>
        <v>0</v>
      </c>
      <c r="Z211" s="2">
        <f t="shared" si="57"/>
        <v>0</v>
      </c>
      <c r="AA211" s="2">
        <f t="shared" si="57"/>
        <v>0</v>
      </c>
      <c r="AB211" s="2">
        <f t="shared" si="57"/>
        <v>357.83906881010506</v>
      </c>
      <c r="AC211" s="2">
        <f t="shared" si="57"/>
        <v>357.83906881010506</v>
      </c>
      <c r="AD211" s="2">
        <f t="shared" si="57"/>
        <v>357.83906881010506</v>
      </c>
      <c r="AE211" s="2">
        <f t="shared" si="57"/>
        <v>357.83906881010506</v>
      </c>
      <c r="AF211" s="2"/>
    </row>
    <row r="212" spans="1:33">
      <c r="A212" s="14"/>
      <c r="B212" s="5" t="s">
        <v>885</v>
      </c>
      <c r="D212" t="s">
        <v>869</v>
      </c>
      <c r="E212" s="12"/>
      <c r="F212" s="6"/>
      <c r="G212" s="2" t="s">
        <v>860</v>
      </c>
      <c r="I212" s="2" t="s">
        <v>884</v>
      </c>
      <c r="J212" s="10"/>
      <c r="K212" s="9"/>
      <c r="AF212" s="2"/>
    </row>
    <row r="213" spans="1:33" ht="18">
      <c r="A213" s="20" t="s">
        <v>891</v>
      </c>
      <c r="D213" s="105" t="s">
        <v>892</v>
      </c>
      <c r="E213">
        <f>$F$7</f>
        <v>-5</v>
      </c>
      <c r="F213" s="5" t="s">
        <v>893</v>
      </c>
      <c r="G213" s="19">
        <f>SUM(H213:AE213)/48</f>
        <v>71.948409482699844</v>
      </c>
      <c r="H213" s="2">
        <f t="shared" ref="H213:AE213" si="58">$M$9*($F$7+273)^4*H$27*(1-$H$142)</f>
        <v>0</v>
      </c>
      <c r="I213" s="2">
        <f t="shared" si="58"/>
        <v>0</v>
      </c>
      <c r="J213" s="2">
        <f t="shared" si="58"/>
        <v>0</v>
      </c>
      <c r="K213" s="2">
        <f t="shared" si="58"/>
        <v>0</v>
      </c>
      <c r="L213" s="2">
        <f t="shared" si="58"/>
        <v>0</v>
      </c>
      <c r="M213" s="2">
        <f t="shared" si="58"/>
        <v>0</v>
      </c>
      <c r="N213" s="2">
        <f t="shared" si="58"/>
        <v>0</v>
      </c>
      <c r="O213" s="2">
        <f t="shared" si="58"/>
        <v>0</v>
      </c>
      <c r="P213" s="2">
        <f t="shared" si="58"/>
        <v>287.79363793079938</v>
      </c>
      <c r="Q213" s="2">
        <f t="shared" si="58"/>
        <v>287.79363793079938</v>
      </c>
      <c r="R213" s="2">
        <f t="shared" si="58"/>
        <v>287.79363793079938</v>
      </c>
      <c r="S213" s="2">
        <f t="shared" si="58"/>
        <v>287.79363793079938</v>
      </c>
      <c r="T213" s="2">
        <f t="shared" si="58"/>
        <v>287.79363793079938</v>
      </c>
      <c r="U213" s="2">
        <f t="shared" si="58"/>
        <v>287.79363793079938</v>
      </c>
      <c r="V213" s="2">
        <f t="shared" si="58"/>
        <v>287.79363793079938</v>
      </c>
      <c r="W213" s="2">
        <f t="shared" si="58"/>
        <v>287.79363793079938</v>
      </c>
      <c r="X213" s="2">
        <f t="shared" si="58"/>
        <v>287.79363793079938</v>
      </c>
      <c r="Y213" s="2">
        <f t="shared" si="58"/>
        <v>287.79363793079938</v>
      </c>
      <c r="Z213" s="2">
        <f t="shared" si="58"/>
        <v>287.79363793079938</v>
      </c>
      <c r="AA213" s="2">
        <f t="shared" si="58"/>
        <v>287.79363793079938</v>
      </c>
      <c r="AB213" s="2">
        <f t="shared" si="58"/>
        <v>0</v>
      </c>
      <c r="AC213" s="2">
        <f t="shared" si="58"/>
        <v>0</v>
      </c>
      <c r="AD213" s="2">
        <f t="shared" si="58"/>
        <v>0</v>
      </c>
      <c r="AE213" s="2">
        <f t="shared" si="58"/>
        <v>0</v>
      </c>
      <c r="AF213" s="2"/>
    </row>
    <row r="214" spans="1:33">
      <c r="A214" s="14"/>
      <c r="B214" t="s">
        <v>886</v>
      </c>
      <c r="D214" t="s">
        <v>744</v>
      </c>
      <c r="E214" s="30"/>
      <c r="F214" t="s">
        <v>618</v>
      </c>
      <c r="H214" s="2" t="s">
        <v>860</v>
      </c>
      <c r="I214" s="2"/>
      <c r="J214" s="2" t="s">
        <v>887</v>
      </c>
      <c r="K214" s="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3">
      <c r="A215" s="20" t="s">
        <v>914</v>
      </c>
      <c r="B215" s="11"/>
      <c r="C215" s="11"/>
      <c r="D215" s="11"/>
      <c r="E215" s="27"/>
      <c r="F215" s="6"/>
      <c r="G215" s="19">
        <f>SUM(H215:AE215)/24</f>
        <v>2.5618512323568008</v>
      </c>
      <c r="H215" s="24">
        <f t="shared" ref="H215:AE215" si="59">$M$9*($F$9+273)^4*$F$10*$F$18</f>
        <v>2.5618512323567995</v>
      </c>
      <c r="I215" s="24">
        <f t="shared" si="59"/>
        <v>2.5618512323567995</v>
      </c>
      <c r="J215" s="24">
        <f t="shared" si="59"/>
        <v>2.5618512323567995</v>
      </c>
      <c r="K215" s="24">
        <f t="shared" si="59"/>
        <v>2.5618512323567995</v>
      </c>
      <c r="L215" s="24">
        <f t="shared" si="59"/>
        <v>2.5618512323567995</v>
      </c>
      <c r="M215" s="24">
        <f t="shared" si="59"/>
        <v>2.5618512323567995</v>
      </c>
      <c r="N215" s="24">
        <f t="shared" si="59"/>
        <v>2.5618512323567995</v>
      </c>
      <c r="O215" s="24">
        <f t="shared" si="59"/>
        <v>2.5618512323567995</v>
      </c>
      <c r="P215" s="24">
        <f t="shared" si="59"/>
        <v>2.5618512323567995</v>
      </c>
      <c r="Q215" s="24">
        <f t="shared" si="59"/>
        <v>2.5618512323567995</v>
      </c>
      <c r="R215" s="24">
        <f t="shared" si="59"/>
        <v>2.5618512323567995</v>
      </c>
      <c r="S215" s="24">
        <f t="shared" si="59"/>
        <v>2.5618512323567995</v>
      </c>
      <c r="T215" s="24">
        <f t="shared" si="59"/>
        <v>2.5618512323567995</v>
      </c>
      <c r="U215" s="24">
        <f t="shared" si="59"/>
        <v>2.5618512323567995</v>
      </c>
      <c r="V215" s="24">
        <f t="shared" si="59"/>
        <v>2.5618512323567995</v>
      </c>
      <c r="W215" s="24">
        <f t="shared" si="59"/>
        <v>2.5618512323567995</v>
      </c>
      <c r="X215" s="24">
        <f t="shared" si="59"/>
        <v>2.5618512323567995</v>
      </c>
      <c r="Y215" s="24">
        <f t="shared" si="59"/>
        <v>2.5618512323567995</v>
      </c>
      <c r="Z215" s="24">
        <f t="shared" si="59"/>
        <v>2.5618512323567995</v>
      </c>
      <c r="AA215" s="24">
        <f t="shared" si="59"/>
        <v>2.5618512323567995</v>
      </c>
      <c r="AB215" s="24">
        <f t="shared" si="59"/>
        <v>2.5618512323567995</v>
      </c>
      <c r="AC215" s="24">
        <f t="shared" si="59"/>
        <v>2.5618512323567995</v>
      </c>
      <c r="AD215" s="24">
        <f t="shared" si="59"/>
        <v>2.5618512323567995</v>
      </c>
      <c r="AE215" s="24">
        <f t="shared" si="59"/>
        <v>2.5618512323567995</v>
      </c>
      <c r="AF215" s="28"/>
      <c r="AG215" s="11"/>
    </row>
    <row r="216" spans="1:33">
      <c r="A216" s="20"/>
      <c r="B216" s="5" t="s">
        <v>923</v>
      </c>
      <c r="C216" s="11"/>
      <c r="D216" t="s">
        <v>743</v>
      </c>
      <c r="E216" s="27"/>
      <c r="F216" s="6"/>
      <c r="G216" s="28"/>
      <c r="H216" t="s">
        <v>717</v>
      </c>
      <c r="I216" s="29"/>
      <c r="J216" s="11"/>
      <c r="K216" s="2" t="s">
        <v>719</v>
      </c>
      <c r="L216" s="11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11"/>
    </row>
    <row r="217" spans="1:33">
      <c r="A217" s="20"/>
      <c r="B217" s="27" t="s">
        <v>925</v>
      </c>
      <c r="C217" s="11" t="s">
        <v>924</v>
      </c>
      <c r="E217" s="27"/>
      <c r="F217" s="6"/>
      <c r="G217" s="28"/>
      <c r="I217" s="29"/>
      <c r="J217" s="11"/>
      <c r="K217" s="2"/>
      <c r="L217" s="11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11"/>
    </row>
    <row r="218" spans="1:33">
      <c r="A218" s="20"/>
      <c r="B218" s="14"/>
      <c r="C218" t="s">
        <v>926</v>
      </c>
      <c r="E218" s="27"/>
      <c r="F218" s="6"/>
      <c r="G218" s="28"/>
      <c r="I218" s="29"/>
      <c r="J218" s="11"/>
      <c r="K218" s="2"/>
      <c r="L218" s="11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11"/>
    </row>
    <row r="219" spans="1:33">
      <c r="A219" s="3"/>
      <c r="B219" s="16" t="s">
        <v>741</v>
      </c>
      <c r="E219" s="12"/>
      <c r="F219" s="6"/>
      <c r="G219" s="32">
        <f>G190+G196+G201+G211+G213+G215</f>
        <v>500.76404991575708</v>
      </c>
      <c r="H219" s="2"/>
      <c r="I219" s="29"/>
      <c r="K219" s="10"/>
      <c r="L219" s="3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3">
      <c r="A220" s="20"/>
      <c r="B220" s="16" t="s">
        <v>725</v>
      </c>
      <c r="E220" s="30"/>
      <c r="F220" s="6"/>
      <c r="G220" s="32">
        <f>G187-G219</f>
        <v>4.4603549115606143</v>
      </c>
      <c r="H220" s="33"/>
      <c r="I220" s="8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3">
      <c r="A221" s="39" t="s">
        <v>501</v>
      </c>
      <c r="B221" s="16"/>
      <c r="E221" s="30"/>
      <c r="F221" s="6"/>
      <c r="G221" s="32"/>
      <c r="H221" s="33"/>
      <c r="I221" s="3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3">
      <c r="A222" s="3" t="s">
        <v>425</v>
      </c>
      <c r="E222" s="12"/>
      <c r="F222" s="6"/>
      <c r="G222" s="87" t="s">
        <v>535</v>
      </c>
      <c r="H222" s="21"/>
      <c r="I222" s="2"/>
      <c r="J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3">
      <c r="A223" s="20" t="s">
        <v>935</v>
      </c>
      <c r="B223" s="11"/>
      <c r="C223" s="11"/>
      <c r="E223" s="14" t="s">
        <v>563</v>
      </c>
      <c r="F223" s="31">
        <f>$F$15</f>
        <v>0.7</v>
      </c>
      <c r="G223" s="19">
        <f>SUM(H223:AE223)/48</f>
        <v>216.15585822429787</v>
      </c>
      <c r="H223" s="2">
        <f t="shared" ref="H223:AE223" si="60">H$127*$F$15</f>
        <v>44.742509637589194</v>
      </c>
      <c r="I223" s="2">
        <f t="shared" si="60"/>
        <v>132.67856641343695</v>
      </c>
      <c r="J223" s="2">
        <f t="shared" si="60"/>
        <v>218.18373839516664</v>
      </c>
      <c r="K223" s="2">
        <f t="shared" si="60"/>
        <v>299.98364771956778</v>
      </c>
      <c r="L223" s="2">
        <f t="shared" si="60"/>
        <v>376.65597971959266</v>
      </c>
      <c r="M223" s="2">
        <f t="shared" si="60"/>
        <v>446.87620477863101</v>
      </c>
      <c r="N223" s="2">
        <f t="shared" si="60"/>
        <v>509.48526912040114</v>
      </c>
      <c r="O223" s="2">
        <f t="shared" si="60"/>
        <v>563.26208564073056</v>
      </c>
      <c r="P223" s="2">
        <f t="shared" si="60"/>
        <v>607.50267349561011</v>
      </c>
      <c r="Q223" s="2">
        <f t="shared" si="60"/>
        <v>648.68547157612727</v>
      </c>
      <c r="R223" s="2">
        <f t="shared" si="60"/>
        <v>664.11765496191197</v>
      </c>
      <c r="S223" s="2">
        <f t="shared" si="60"/>
        <v>675.56679592438286</v>
      </c>
      <c r="T223" s="2">
        <f t="shared" si="60"/>
        <v>675.56679592438286</v>
      </c>
      <c r="U223" s="2">
        <f t="shared" si="60"/>
        <v>664.11765496191197</v>
      </c>
      <c r="V223" s="2">
        <f t="shared" si="60"/>
        <v>648.68547157612727</v>
      </c>
      <c r="W223" s="2">
        <f t="shared" si="60"/>
        <v>607.50267349561011</v>
      </c>
      <c r="X223" s="2">
        <f t="shared" si="60"/>
        <v>563.26208564073056</v>
      </c>
      <c r="Y223" s="2">
        <f t="shared" si="60"/>
        <v>509.48526912040114</v>
      </c>
      <c r="Z223" s="2">
        <f t="shared" si="60"/>
        <v>446.87620477863101</v>
      </c>
      <c r="AA223" s="2">
        <f t="shared" si="60"/>
        <v>376.65597971959266</v>
      </c>
      <c r="AB223" s="2">
        <f t="shared" si="60"/>
        <v>299.98364771956778</v>
      </c>
      <c r="AC223" s="2">
        <f t="shared" si="60"/>
        <v>218.18373839516664</v>
      </c>
      <c r="AD223" s="2">
        <f t="shared" si="60"/>
        <v>132.67856641343695</v>
      </c>
      <c r="AE223" s="2">
        <f t="shared" si="60"/>
        <v>44.742509637589194</v>
      </c>
      <c r="AF223" s="28"/>
      <c r="AG223" s="11"/>
    </row>
    <row r="224" spans="1:33">
      <c r="A224" s="3"/>
      <c r="B224" s="5" t="s">
        <v>418</v>
      </c>
      <c r="C224" s="11"/>
      <c r="D224" t="s">
        <v>413</v>
      </c>
      <c r="F224" s="27"/>
      <c r="G224" s="2"/>
      <c r="H224" s="2" t="s">
        <v>1019</v>
      </c>
      <c r="I224" s="2"/>
      <c r="J224" s="2"/>
      <c r="K224" s="2"/>
      <c r="M224" s="2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11"/>
    </row>
    <row r="225" spans="1:33">
      <c r="A225" s="20" t="s">
        <v>936</v>
      </c>
      <c r="B225" s="11"/>
      <c r="C225" s="11"/>
      <c r="D225" s="24" t="s">
        <v>1015</v>
      </c>
      <c r="E225" s="27"/>
      <c r="F225" s="6"/>
      <c r="G225" s="25">
        <f t="shared" ref="G225:AE225" si="61">$M$9*($F$7+273)^4</f>
        <v>294.04515763199998</v>
      </c>
      <c r="H225" s="24">
        <f t="shared" si="61"/>
        <v>294.04515763199998</v>
      </c>
      <c r="I225" s="24">
        <f t="shared" si="61"/>
        <v>294.04515763199998</v>
      </c>
      <c r="J225" s="24">
        <f t="shared" si="61"/>
        <v>294.04515763199998</v>
      </c>
      <c r="K225" s="24">
        <f t="shared" si="61"/>
        <v>294.04515763199998</v>
      </c>
      <c r="L225" s="24">
        <f t="shared" si="61"/>
        <v>294.04515763199998</v>
      </c>
      <c r="M225" s="24">
        <f t="shared" si="61"/>
        <v>294.04515763199998</v>
      </c>
      <c r="N225" s="24">
        <f t="shared" si="61"/>
        <v>294.04515763199998</v>
      </c>
      <c r="O225" s="24">
        <f t="shared" si="61"/>
        <v>294.04515763199998</v>
      </c>
      <c r="P225" s="24">
        <f t="shared" si="61"/>
        <v>294.04515763199998</v>
      </c>
      <c r="Q225" s="24">
        <f t="shared" si="61"/>
        <v>294.04515763199998</v>
      </c>
      <c r="R225" s="24">
        <f t="shared" si="61"/>
        <v>294.04515763199998</v>
      </c>
      <c r="S225" s="24">
        <f t="shared" si="61"/>
        <v>294.04515763199998</v>
      </c>
      <c r="T225" s="24">
        <f t="shared" si="61"/>
        <v>294.04515763199998</v>
      </c>
      <c r="U225" s="24">
        <f t="shared" si="61"/>
        <v>294.04515763199998</v>
      </c>
      <c r="V225" s="24">
        <f t="shared" si="61"/>
        <v>294.04515763199998</v>
      </c>
      <c r="W225" s="24">
        <f t="shared" si="61"/>
        <v>294.04515763199998</v>
      </c>
      <c r="X225" s="24">
        <f t="shared" si="61"/>
        <v>294.04515763199998</v>
      </c>
      <c r="Y225" s="24">
        <f t="shared" si="61"/>
        <v>294.04515763199998</v>
      </c>
      <c r="Z225" s="24">
        <f t="shared" si="61"/>
        <v>294.04515763199998</v>
      </c>
      <c r="AA225" s="24">
        <f t="shared" si="61"/>
        <v>294.04515763199998</v>
      </c>
      <c r="AB225" s="24">
        <f t="shared" si="61"/>
        <v>294.04515763199998</v>
      </c>
      <c r="AC225" s="24">
        <f t="shared" si="61"/>
        <v>294.04515763199998</v>
      </c>
      <c r="AD225" s="24">
        <f t="shared" si="61"/>
        <v>294.04515763199998</v>
      </c>
      <c r="AE225" s="24">
        <f t="shared" si="61"/>
        <v>294.04515763199998</v>
      </c>
      <c r="AF225" s="28"/>
      <c r="AG225" s="11"/>
    </row>
    <row r="226" spans="1:33">
      <c r="A226" s="20"/>
      <c r="B226" s="16" t="s">
        <v>729</v>
      </c>
      <c r="C226" s="11"/>
      <c r="D226" s="11"/>
      <c r="E226" s="21"/>
      <c r="F226" s="21"/>
      <c r="G226" s="82">
        <f>G223+G225</f>
        <v>510.20101585629789</v>
      </c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8"/>
      <c r="AG226" s="11"/>
    </row>
    <row r="227" spans="1:33">
      <c r="A227" s="39" t="s">
        <v>501</v>
      </c>
      <c r="B227" s="16"/>
      <c r="C227" s="11"/>
      <c r="D227" s="11"/>
      <c r="E227" s="21"/>
      <c r="F227" s="21"/>
      <c r="G227" s="82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8"/>
      <c r="AG227" s="11"/>
    </row>
    <row r="228" spans="1:33">
      <c r="A228" s="3" t="s">
        <v>728</v>
      </c>
      <c r="B228" s="16"/>
      <c r="C228" s="11"/>
      <c r="D228" s="11"/>
      <c r="E228" s="21"/>
      <c r="F228" s="21"/>
      <c r="G228" s="82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8"/>
      <c r="AG228" s="11"/>
    </row>
    <row r="229" spans="1:33">
      <c r="A229" s="3" t="s">
        <v>877</v>
      </c>
      <c r="G229" s="19">
        <f>SUM(H229:AE229)/48</f>
        <v>3.3975738804884674</v>
      </c>
      <c r="H229" s="24">
        <f t="shared" ref="H229:AE229" si="62">H$127*H$141*$F$16</f>
        <v>6.1887053259155564</v>
      </c>
      <c r="I229" s="24">
        <f t="shared" si="62"/>
        <v>6.7685637891643804</v>
      </c>
      <c r="J229" s="24">
        <f t="shared" si="62"/>
        <v>6.8800124991316505</v>
      </c>
      <c r="K229" s="24">
        <f t="shared" si="62"/>
        <v>6.9529456352192822</v>
      </c>
      <c r="L229" s="24">
        <f t="shared" si="62"/>
        <v>6.8175072164468631</v>
      </c>
      <c r="M229" s="24">
        <f t="shared" si="62"/>
        <v>6.8523287750022472</v>
      </c>
      <c r="N229" s="24">
        <f t="shared" si="62"/>
        <v>6.8531325681989061</v>
      </c>
      <c r="O229" s="24">
        <f t="shared" si="62"/>
        <v>6.8078785992631694</v>
      </c>
      <c r="P229" s="24">
        <f t="shared" si="62"/>
        <v>6.8839867407199851</v>
      </c>
      <c r="Q229" s="24">
        <f t="shared" si="62"/>
        <v>6.872652894935201</v>
      </c>
      <c r="R229" s="24">
        <f t="shared" si="62"/>
        <v>6.8460905044206974</v>
      </c>
      <c r="S229" s="24">
        <f t="shared" si="62"/>
        <v>6.8179685833052774</v>
      </c>
      <c r="T229" s="24">
        <f t="shared" si="62"/>
        <v>6.8179685833052774</v>
      </c>
      <c r="U229" s="24">
        <f t="shared" si="62"/>
        <v>6.8460905044206974</v>
      </c>
      <c r="V229" s="24">
        <f t="shared" si="62"/>
        <v>6.872652894935201</v>
      </c>
      <c r="W229" s="24">
        <f t="shared" si="62"/>
        <v>6.8839867407199851</v>
      </c>
      <c r="X229" s="24">
        <f t="shared" si="62"/>
        <v>6.8078785992631694</v>
      </c>
      <c r="Y229" s="24">
        <f t="shared" si="62"/>
        <v>6.8531325681989061</v>
      </c>
      <c r="Z229" s="24">
        <f t="shared" si="62"/>
        <v>6.8523287750022472</v>
      </c>
      <c r="AA229" s="24">
        <f t="shared" si="62"/>
        <v>6.8175072164468631</v>
      </c>
      <c r="AB229" s="24">
        <f t="shared" si="62"/>
        <v>6.9529456352192822</v>
      </c>
      <c r="AC229" s="24">
        <f t="shared" si="62"/>
        <v>6.8800124991316505</v>
      </c>
      <c r="AD229" s="24">
        <f t="shared" si="62"/>
        <v>6.7685637891643804</v>
      </c>
      <c r="AE229" s="24">
        <f t="shared" si="62"/>
        <v>6.1887053259155564</v>
      </c>
      <c r="AF229" s="28"/>
      <c r="AG229" s="11"/>
    </row>
    <row r="230" spans="1:33">
      <c r="B230" s="5" t="s">
        <v>409</v>
      </c>
      <c r="D230" t="s">
        <v>417</v>
      </c>
      <c r="G230" t="s">
        <v>894</v>
      </c>
      <c r="J230" s="2"/>
      <c r="K230" s="2" t="s">
        <v>1027</v>
      </c>
      <c r="L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3">
      <c r="A231" t="s">
        <v>879</v>
      </c>
      <c r="C231" s="11"/>
      <c r="G231" s="98">
        <f>SUM(H231:AE231)/48</f>
        <v>305.32855781947018</v>
      </c>
      <c r="H231" s="97">
        <f t="shared" ref="H231:AE231" si="63">H$127*(1-($F$16+$F$13)*H$141)</f>
        <v>57.605391478407839</v>
      </c>
      <c r="I231" s="97">
        <f t="shared" si="63"/>
        <v>182.63687409710514</v>
      </c>
      <c r="J231" s="97">
        <f t="shared" si="63"/>
        <v>304.67344210112378</v>
      </c>
      <c r="K231" s="97">
        <f t="shared" si="63"/>
        <v>421.45606362288743</v>
      </c>
      <c r="L231" s="97">
        <f t="shared" si="63"/>
        <v>531.12611366721376</v>
      </c>
      <c r="M231" s="97">
        <f t="shared" si="63"/>
        <v>631.40520290468487</v>
      </c>
      <c r="N231" s="97">
        <f t="shared" si="63"/>
        <v>720.84590352386738</v>
      </c>
      <c r="O231" s="97">
        <f t="shared" si="63"/>
        <v>797.71608617265247</v>
      </c>
      <c r="P231" s="97">
        <f t="shared" si="63"/>
        <v>860.83929566105155</v>
      </c>
      <c r="Q231" s="97">
        <f t="shared" si="63"/>
        <v>919.68342487020516</v>
      </c>
      <c r="R231" s="97">
        <f t="shared" si="63"/>
        <v>941.75649477393665</v>
      </c>
      <c r="S231" s="97">
        <f t="shared" si="63"/>
        <v>958.14109479414719</v>
      </c>
      <c r="T231" s="97">
        <f t="shared" si="63"/>
        <v>958.14109479414719</v>
      </c>
      <c r="U231" s="97">
        <f t="shared" si="63"/>
        <v>941.75649477393665</v>
      </c>
      <c r="V231" s="97">
        <f t="shared" si="63"/>
        <v>919.68342487020516</v>
      </c>
      <c r="W231" s="97">
        <f t="shared" si="63"/>
        <v>860.83929566105155</v>
      </c>
      <c r="X231" s="97">
        <f t="shared" si="63"/>
        <v>797.71608617265247</v>
      </c>
      <c r="Y231" s="97">
        <f t="shared" si="63"/>
        <v>720.84590352386738</v>
      </c>
      <c r="Z231" s="97">
        <f t="shared" si="63"/>
        <v>631.40520290468487</v>
      </c>
      <c r="AA231" s="97">
        <f t="shared" si="63"/>
        <v>531.12611366721376</v>
      </c>
      <c r="AB231" s="97">
        <f t="shared" si="63"/>
        <v>421.45606362288743</v>
      </c>
      <c r="AC231" s="97">
        <f t="shared" si="63"/>
        <v>304.67344210112378</v>
      </c>
      <c r="AD231" s="97">
        <f t="shared" si="63"/>
        <v>182.63687409710514</v>
      </c>
      <c r="AE231" s="97">
        <f t="shared" si="63"/>
        <v>57.605391478407839</v>
      </c>
      <c r="AF231" s="28"/>
      <c r="AG231" s="11"/>
    </row>
    <row r="232" spans="1:33">
      <c r="B232" s="24" t="s">
        <v>410</v>
      </c>
      <c r="D232" s="2" t="s">
        <v>419</v>
      </c>
      <c r="E232" s="106" t="s">
        <v>970</v>
      </c>
      <c r="G232" t="s">
        <v>853</v>
      </c>
      <c r="I232" t="s">
        <v>950</v>
      </c>
      <c r="AF232" s="28"/>
      <c r="AG232" s="11"/>
    </row>
    <row r="233" spans="1:33">
      <c r="A233" t="s">
        <v>895</v>
      </c>
      <c r="C233" s="11"/>
      <c r="D233" s="24"/>
      <c r="G233" s="97">
        <f>SUM(H233:AE233)/48</f>
        <v>213.72999047362907</v>
      </c>
      <c r="H233" s="97">
        <f>H231*$F$15</f>
        <v>40.323774034885481</v>
      </c>
      <c r="I233" s="97">
        <f t="shared" ref="I233:AE233" si="64">I231*$F$15</f>
        <v>127.84581186797358</v>
      </c>
      <c r="J233" s="97">
        <f t="shared" si="64"/>
        <v>213.27140947078664</v>
      </c>
      <c r="K233" s="97">
        <f t="shared" si="64"/>
        <v>295.01924453602118</v>
      </c>
      <c r="L233" s="97">
        <f t="shared" si="64"/>
        <v>371.78827956704959</v>
      </c>
      <c r="M233" s="97">
        <f t="shared" si="64"/>
        <v>441.98364203327941</v>
      </c>
      <c r="N233" s="97">
        <f t="shared" si="64"/>
        <v>504.59213246670714</v>
      </c>
      <c r="O233" s="97">
        <f t="shared" si="64"/>
        <v>558.40126032085664</v>
      </c>
      <c r="P233" s="97">
        <f t="shared" si="64"/>
        <v>602.58750696273603</v>
      </c>
      <c r="Q233" s="97">
        <f t="shared" si="64"/>
        <v>643.77839740914362</v>
      </c>
      <c r="R233" s="97">
        <f t="shared" si="64"/>
        <v>659.22954634175562</v>
      </c>
      <c r="S233" s="97">
        <f t="shared" si="64"/>
        <v>670.69876635590299</v>
      </c>
      <c r="T233" s="97">
        <f t="shared" si="64"/>
        <v>670.69876635590299</v>
      </c>
      <c r="U233" s="97">
        <f t="shared" si="64"/>
        <v>659.22954634175562</v>
      </c>
      <c r="V233" s="97">
        <f t="shared" si="64"/>
        <v>643.77839740914362</v>
      </c>
      <c r="W233" s="97">
        <f t="shared" si="64"/>
        <v>602.58750696273603</v>
      </c>
      <c r="X233" s="97">
        <f t="shared" si="64"/>
        <v>558.40126032085664</v>
      </c>
      <c r="Y233" s="97">
        <f t="shared" si="64"/>
        <v>504.59213246670714</v>
      </c>
      <c r="Z233" s="97">
        <f t="shared" si="64"/>
        <v>441.98364203327941</v>
      </c>
      <c r="AA233" s="97">
        <f t="shared" si="64"/>
        <v>371.78827956704959</v>
      </c>
      <c r="AB233" s="97">
        <f t="shared" si="64"/>
        <v>295.01924453602118</v>
      </c>
      <c r="AC233" s="97">
        <f t="shared" si="64"/>
        <v>213.27140947078664</v>
      </c>
      <c r="AD233" s="97">
        <f t="shared" si="64"/>
        <v>127.84581186797358</v>
      </c>
      <c r="AE233" s="97">
        <f t="shared" si="64"/>
        <v>40.323774034885481</v>
      </c>
      <c r="AF233" s="28"/>
      <c r="AG233" s="11"/>
    </row>
    <row r="234" spans="1:33">
      <c r="B234" s="24" t="s">
        <v>938</v>
      </c>
      <c r="C234" s="14" t="s">
        <v>897</v>
      </c>
      <c r="D234" s="24" t="s">
        <v>927</v>
      </c>
      <c r="I234" s="24"/>
      <c r="AF234" s="28"/>
      <c r="AG234" s="11"/>
    </row>
    <row r="235" spans="1:33">
      <c r="A235" s="20" t="s">
        <v>896</v>
      </c>
      <c r="B235" s="11"/>
      <c r="C235" s="11"/>
      <c r="E235" s="14" t="s">
        <v>563</v>
      </c>
      <c r="F235" s="31">
        <f>$F$15</f>
        <v>0.7</v>
      </c>
      <c r="G235" s="19">
        <f>SUM(H235:AE235)/48</f>
        <v>211.41255732478501</v>
      </c>
      <c r="H235" s="2">
        <f>H233*(1-($F$16+$F$13)*$H$142)</f>
        <v>39.88655111437788</v>
      </c>
      <c r="I235" s="2">
        <f t="shared" ref="I235:AE235" si="65">I233*(1-($F$16+$F$13)*$H$142)</f>
        <v>126.45960433712038</v>
      </c>
      <c r="J235" s="2">
        <f t="shared" si="65"/>
        <v>210.9589486274906</v>
      </c>
      <c r="K235" s="2">
        <f t="shared" si="65"/>
        <v>291.82040765159678</v>
      </c>
      <c r="L235" s="2">
        <f t="shared" si="65"/>
        <v>367.75705081196901</v>
      </c>
      <c r="M235" s="2">
        <f t="shared" si="65"/>
        <v>437.1912984738895</v>
      </c>
      <c r="N235" s="2">
        <f t="shared" si="65"/>
        <v>499.12093709616994</v>
      </c>
      <c r="O235" s="2">
        <f t="shared" si="65"/>
        <v>552.34662293395445</v>
      </c>
      <c r="P235" s="2">
        <f t="shared" si="65"/>
        <v>596.05376660828131</v>
      </c>
      <c r="Q235" s="2">
        <f t="shared" si="65"/>
        <v>636.79803215783022</v>
      </c>
      <c r="R235" s="2">
        <f t="shared" si="65"/>
        <v>652.08164725653887</v>
      </c>
      <c r="S235" s="2">
        <f t="shared" si="65"/>
        <v>663.42650872562069</v>
      </c>
      <c r="T235" s="2">
        <f t="shared" si="65"/>
        <v>663.42650872562069</v>
      </c>
      <c r="U235" s="2">
        <f t="shared" si="65"/>
        <v>652.08164725653887</v>
      </c>
      <c r="V235" s="2">
        <f t="shared" si="65"/>
        <v>636.79803215783022</v>
      </c>
      <c r="W235" s="2">
        <f t="shared" si="65"/>
        <v>596.05376660828131</v>
      </c>
      <c r="X235" s="2">
        <f t="shared" si="65"/>
        <v>552.34662293395445</v>
      </c>
      <c r="Y235" s="2">
        <f t="shared" si="65"/>
        <v>499.12093709616994</v>
      </c>
      <c r="Z235" s="2">
        <f t="shared" si="65"/>
        <v>437.1912984738895</v>
      </c>
      <c r="AA235" s="2">
        <f t="shared" si="65"/>
        <v>367.75705081196901</v>
      </c>
      <c r="AB235" s="2">
        <f t="shared" si="65"/>
        <v>291.82040765159678</v>
      </c>
      <c r="AC235" s="2">
        <f t="shared" si="65"/>
        <v>210.9589486274906</v>
      </c>
      <c r="AD235" s="2">
        <f t="shared" si="65"/>
        <v>126.45960433712038</v>
      </c>
      <c r="AE235" s="2">
        <f t="shared" si="65"/>
        <v>39.88655111437788</v>
      </c>
      <c r="AF235" s="28"/>
      <c r="AG235" s="11"/>
    </row>
    <row r="236" spans="1:33">
      <c r="A236" s="3"/>
      <c r="B236" s="5" t="s">
        <v>1028</v>
      </c>
      <c r="C236" s="11"/>
      <c r="D236" t="s">
        <v>1024</v>
      </c>
      <c r="F236" s="27"/>
      <c r="G236" s="2"/>
      <c r="H236" s="2" t="s">
        <v>898</v>
      </c>
      <c r="I236" s="2"/>
      <c r="J236" s="2" t="s">
        <v>899</v>
      </c>
      <c r="K236" s="2"/>
      <c r="L236" t="s">
        <v>248</v>
      </c>
      <c r="M236" s="2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11"/>
    </row>
    <row r="237" spans="1:33">
      <c r="A237" t="s">
        <v>834</v>
      </c>
      <c r="B237" s="5"/>
      <c r="C237" s="11"/>
      <c r="D237" s="5" t="s">
        <v>910</v>
      </c>
      <c r="F237" t="s">
        <v>928</v>
      </c>
      <c r="G237" s="97">
        <f>SUM(H237:AE237)/48</f>
        <v>2.2719932831804912</v>
      </c>
      <c r="H237" s="97">
        <f t="shared" ref="H237:AE237" si="66">H233*$H142*$F$16</f>
        <v>0.42864992206627928</v>
      </c>
      <c r="I237" s="97">
        <f t="shared" si="66"/>
        <v>1.3590269910325548</v>
      </c>
      <c r="J237" s="97">
        <f t="shared" si="66"/>
        <v>2.2671184738196555</v>
      </c>
      <c r="K237" s="97">
        <f t="shared" si="66"/>
        <v>3.136114592572937</v>
      </c>
      <c r="L237" s="97">
        <f t="shared" si="66"/>
        <v>3.9521850540005996</v>
      </c>
      <c r="M237" s="97">
        <f t="shared" si="66"/>
        <v>4.6983760386175755</v>
      </c>
      <c r="N237" s="97">
        <f t="shared" si="66"/>
        <v>5.3639170299384391</v>
      </c>
      <c r="O237" s="97">
        <f t="shared" si="66"/>
        <v>5.9359190067668255</v>
      </c>
      <c r="P237" s="97">
        <f t="shared" si="66"/>
        <v>6.4056277984850052</v>
      </c>
      <c r="Q237" s="97">
        <f t="shared" si="66"/>
        <v>6.8434953444249773</v>
      </c>
      <c r="R237" s="97">
        <f t="shared" si="66"/>
        <v>7.0077442011929154</v>
      </c>
      <c r="S237" s="97">
        <f t="shared" si="66"/>
        <v>7.1296643434140288</v>
      </c>
      <c r="T237" s="97">
        <f t="shared" si="66"/>
        <v>7.1296643434140288</v>
      </c>
      <c r="U237" s="97">
        <f t="shared" si="66"/>
        <v>7.0077442011929154</v>
      </c>
      <c r="V237" s="97">
        <f t="shared" si="66"/>
        <v>6.8434953444249773</v>
      </c>
      <c r="W237" s="97">
        <f t="shared" si="66"/>
        <v>6.4056277984850052</v>
      </c>
      <c r="X237" s="97">
        <f t="shared" si="66"/>
        <v>5.9359190067668255</v>
      </c>
      <c r="Y237" s="97">
        <f t="shared" si="66"/>
        <v>5.3639170299384391</v>
      </c>
      <c r="Z237" s="97">
        <f t="shared" si="66"/>
        <v>4.6983760386175755</v>
      </c>
      <c r="AA237" s="97">
        <f t="shared" si="66"/>
        <v>3.9521850540005996</v>
      </c>
      <c r="AB237" s="97">
        <f t="shared" si="66"/>
        <v>3.136114592572937</v>
      </c>
      <c r="AC237" s="97">
        <f t="shared" si="66"/>
        <v>2.2671184738196555</v>
      </c>
      <c r="AD237" s="97">
        <f t="shared" si="66"/>
        <v>1.3590269910325548</v>
      </c>
      <c r="AE237" s="97">
        <f t="shared" si="66"/>
        <v>0.42864992206627928</v>
      </c>
      <c r="AF237" s="28"/>
      <c r="AG237" s="11"/>
    </row>
    <row r="238" spans="1:33">
      <c r="A238" t="s">
        <v>930</v>
      </c>
      <c r="B238" s="5"/>
      <c r="C238" s="11"/>
      <c r="D238" s="5" t="s">
        <v>929</v>
      </c>
      <c r="G238" s="97">
        <f>SUM(H238:AE238)/48</f>
        <v>1.5903952982263438</v>
      </c>
      <c r="H238" s="97">
        <f>H237*$F$15</f>
        <v>0.30005494544639549</v>
      </c>
      <c r="I238" s="97">
        <f t="shared" ref="I238:AE238" si="67">I237*$F$15</f>
        <v>0.95131889372278822</v>
      </c>
      <c r="J238" s="97">
        <f t="shared" si="67"/>
        <v>1.5869829316737587</v>
      </c>
      <c r="K238" s="97">
        <f t="shared" si="67"/>
        <v>2.195280214801056</v>
      </c>
      <c r="L238" s="97">
        <f t="shared" si="67"/>
        <v>2.7665295378004195</v>
      </c>
      <c r="M238" s="97">
        <f t="shared" si="67"/>
        <v>3.2888632270323028</v>
      </c>
      <c r="N238" s="97">
        <f t="shared" si="67"/>
        <v>3.7547419209569073</v>
      </c>
      <c r="O238" s="97">
        <f t="shared" si="67"/>
        <v>4.1551433047367778</v>
      </c>
      <c r="P238" s="97">
        <f t="shared" si="67"/>
        <v>4.4839394589395036</v>
      </c>
      <c r="Q238" s="97">
        <f t="shared" si="67"/>
        <v>4.790446741097484</v>
      </c>
      <c r="R238" s="97">
        <f t="shared" si="67"/>
        <v>4.9054209408350404</v>
      </c>
      <c r="S238" s="97">
        <f t="shared" si="67"/>
        <v>4.9907650403898201</v>
      </c>
      <c r="T238" s="97">
        <f t="shared" si="67"/>
        <v>4.9907650403898201</v>
      </c>
      <c r="U238" s="97">
        <f t="shared" si="67"/>
        <v>4.9054209408350404</v>
      </c>
      <c r="V238" s="97">
        <f t="shared" si="67"/>
        <v>4.790446741097484</v>
      </c>
      <c r="W238" s="97">
        <f t="shared" si="67"/>
        <v>4.4839394589395036</v>
      </c>
      <c r="X238" s="97">
        <f t="shared" si="67"/>
        <v>4.1551433047367778</v>
      </c>
      <c r="Y238" s="97">
        <f t="shared" si="67"/>
        <v>3.7547419209569073</v>
      </c>
      <c r="Z238" s="97">
        <f t="shared" si="67"/>
        <v>3.2888632270323028</v>
      </c>
      <c r="AA238" s="97">
        <f t="shared" si="67"/>
        <v>2.7665295378004195</v>
      </c>
      <c r="AB238" s="97">
        <f t="shared" si="67"/>
        <v>2.195280214801056</v>
      </c>
      <c r="AC238" s="97">
        <f t="shared" si="67"/>
        <v>1.5869829316737587</v>
      </c>
      <c r="AD238" s="97">
        <f t="shared" si="67"/>
        <v>0.95131889372278822</v>
      </c>
      <c r="AE238" s="97">
        <f t="shared" si="67"/>
        <v>0.30005494544639549</v>
      </c>
      <c r="AF238" s="28"/>
      <c r="AG238" s="11"/>
    </row>
    <row r="239" spans="1:33">
      <c r="A239" s="20" t="s">
        <v>835</v>
      </c>
      <c r="B239" s="5"/>
      <c r="C239" s="11"/>
      <c r="G239" s="19">
        <f>SUM(H239:AE239)/48</f>
        <v>1.573150948120362</v>
      </c>
      <c r="H239" s="24">
        <f>H238*(1-($F$16+$F$13)*$H$142)</f>
        <v>0.29680150742625072</v>
      </c>
      <c r="I239" s="24">
        <f t="shared" ref="I239:AE239" si="68">I238*(1-($F$16+$F$13)*$H$142)</f>
        <v>0.94100392606406413</v>
      </c>
      <c r="J239" s="24">
        <f t="shared" si="68"/>
        <v>1.569775581201508</v>
      </c>
      <c r="K239" s="24">
        <f t="shared" si="68"/>
        <v>2.1714772139703924</v>
      </c>
      <c r="L239" s="24">
        <f t="shared" si="68"/>
        <v>2.7365325905121725</v>
      </c>
      <c r="M239" s="24">
        <f t="shared" si="68"/>
        <v>3.2532027160883348</v>
      </c>
      <c r="N239" s="24">
        <f t="shared" si="68"/>
        <v>3.7140299770051124</v>
      </c>
      <c r="O239" s="24">
        <f t="shared" si="68"/>
        <v>4.1100898856482537</v>
      </c>
      <c r="P239" s="24">
        <f t="shared" si="68"/>
        <v>4.4353209664362785</v>
      </c>
      <c r="Q239" s="24">
        <f t="shared" si="68"/>
        <v>4.73850484912907</v>
      </c>
      <c r="R239" s="24">
        <f t="shared" si="68"/>
        <v>4.8522324057486284</v>
      </c>
      <c r="S239" s="24">
        <f t="shared" si="68"/>
        <v>4.9366511356586136</v>
      </c>
      <c r="T239" s="24">
        <f t="shared" si="68"/>
        <v>4.9366511356586136</v>
      </c>
      <c r="U239" s="24">
        <f t="shared" si="68"/>
        <v>4.8522324057486284</v>
      </c>
      <c r="V239" s="24">
        <f t="shared" si="68"/>
        <v>4.73850484912907</v>
      </c>
      <c r="W239" s="24">
        <f t="shared" si="68"/>
        <v>4.4353209664362785</v>
      </c>
      <c r="X239" s="24">
        <f t="shared" si="68"/>
        <v>4.1100898856482537</v>
      </c>
      <c r="Y239" s="24">
        <f t="shared" si="68"/>
        <v>3.7140299770051124</v>
      </c>
      <c r="Z239" s="24">
        <f t="shared" si="68"/>
        <v>3.2532027160883348</v>
      </c>
      <c r="AA239" s="24">
        <f t="shared" si="68"/>
        <v>2.7365325905121725</v>
      </c>
      <c r="AB239" s="24">
        <f t="shared" si="68"/>
        <v>2.1714772139703924</v>
      </c>
      <c r="AC239" s="24">
        <f t="shared" si="68"/>
        <v>1.569775581201508</v>
      </c>
      <c r="AD239" s="24">
        <f t="shared" si="68"/>
        <v>0.94100392606406413</v>
      </c>
      <c r="AE239" s="24">
        <f t="shared" si="68"/>
        <v>0.29680150742625072</v>
      </c>
      <c r="AF239" s="28"/>
      <c r="AG239" s="11"/>
    </row>
    <row r="240" spans="1:33">
      <c r="A240" s="20"/>
      <c r="B240" s="24" t="s">
        <v>1030</v>
      </c>
      <c r="C240" s="11"/>
      <c r="D240" t="s">
        <v>1024</v>
      </c>
      <c r="G240" s="27"/>
      <c r="H240" s="24" t="s">
        <v>900</v>
      </c>
      <c r="K240" t="s">
        <v>853</v>
      </c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8"/>
      <c r="AG240" s="11"/>
    </row>
    <row r="241" spans="1:33">
      <c r="A241" s="100" t="s">
        <v>836</v>
      </c>
      <c r="B241" s="5"/>
      <c r="C241" s="11"/>
      <c r="G241" s="19">
        <f>SUM(H241:AE241)/48</f>
        <v>1.1706040250816544E-2</v>
      </c>
      <c r="H241" s="2">
        <f>H239^2/H235</f>
        <v>2.208542286794523E-3</v>
      </c>
      <c r="I241" s="2">
        <f t="shared" ref="I241:AE241" si="69">I239^2/I235</f>
        <v>7.00214423024302E-3</v>
      </c>
      <c r="J241" s="2">
        <f t="shared" si="69"/>
        <v>1.1680923664858541E-2</v>
      </c>
      <c r="K241" s="2">
        <f t="shared" si="69"/>
        <v>1.6158271207756696E-2</v>
      </c>
      <c r="L241" s="2">
        <f t="shared" si="69"/>
        <v>2.0362928738962841E-2</v>
      </c>
      <c r="M241" s="2">
        <f t="shared" si="69"/>
        <v>2.4207544726777285E-2</v>
      </c>
      <c r="N241" s="2">
        <f t="shared" si="69"/>
        <v>2.7636626005602294E-2</v>
      </c>
      <c r="O241" s="2">
        <f t="shared" si="69"/>
        <v>3.0583764192087758E-2</v>
      </c>
      <c r="P241" s="2">
        <f t="shared" si="69"/>
        <v>3.3003854983165423E-2</v>
      </c>
      <c r="Q241" s="2">
        <f t="shared" si="69"/>
        <v>3.5259889433286812E-2</v>
      </c>
      <c r="R241" s="2">
        <f t="shared" si="69"/>
        <v>3.6106152379004906E-2</v>
      </c>
      <c r="S241" s="2">
        <f t="shared" si="69"/>
        <v>3.6734324171056924E-2</v>
      </c>
      <c r="T241" s="2">
        <f t="shared" si="69"/>
        <v>3.6734324171056924E-2</v>
      </c>
      <c r="U241" s="2">
        <f t="shared" si="69"/>
        <v>3.6106152379004906E-2</v>
      </c>
      <c r="V241" s="2">
        <f t="shared" si="69"/>
        <v>3.5259889433286812E-2</v>
      </c>
      <c r="W241" s="2">
        <f t="shared" si="69"/>
        <v>3.3003854983165423E-2</v>
      </c>
      <c r="X241" s="2">
        <f t="shared" si="69"/>
        <v>3.0583764192087758E-2</v>
      </c>
      <c r="Y241" s="2">
        <f t="shared" si="69"/>
        <v>2.7636626005602294E-2</v>
      </c>
      <c r="Z241" s="2">
        <f t="shared" si="69"/>
        <v>2.4207544726777285E-2</v>
      </c>
      <c r="AA241" s="2">
        <f t="shared" si="69"/>
        <v>2.0362928738962841E-2</v>
      </c>
      <c r="AB241" s="2">
        <f t="shared" si="69"/>
        <v>1.6158271207756696E-2</v>
      </c>
      <c r="AC241" s="2">
        <f t="shared" si="69"/>
        <v>1.1680923664858541E-2</v>
      </c>
      <c r="AD241" s="2">
        <f t="shared" si="69"/>
        <v>7.00214423024302E-3</v>
      </c>
      <c r="AE241" s="2">
        <f t="shared" si="69"/>
        <v>2.208542286794523E-3</v>
      </c>
      <c r="AF241" s="28"/>
      <c r="AG241" s="11"/>
    </row>
    <row r="242" spans="1:33">
      <c r="A242" s="100"/>
      <c r="B242" s="24" t="s">
        <v>931</v>
      </c>
      <c r="C242" s="11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8"/>
      <c r="AG242" s="11"/>
    </row>
    <row r="243" spans="1:33">
      <c r="A243" s="20" t="s">
        <v>901</v>
      </c>
      <c r="B243" s="11"/>
      <c r="C243" s="11"/>
      <c r="D243" s="24"/>
      <c r="E243" s="27"/>
      <c r="F243" s="6"/>
      <c r="G243" s="19">
        <f>SUM(H243:AE243)/24</f>
        <v>287.79363793079938</v>
      </c>
      <c r="H243" s="2">
        <f t="shared" ref="H243:AE243" si="70">$M$9*($F$7+273)^4*(1-$H$142)</f>
        <v>287.79363793079938</v>
      </c>
      <c r="I243" s="2">
        <f t="shared" si="70"/>
        <v>287.79363793079938</v>
      </c>
      <c r="J243" s="2">
        <f t="shared" si="70"/>
        <v>287.79363793079938</v>
      </c>
      <c r="K243" s="2">
        <f t="shared" si="70"/>
        <v>287.79363793079938</v>
      </c>
      <c r="L243" s="2">
        <f t="shared" si="70"/>
        <v>287.79363793079938</v>
      </c>
      <c r="M243" s="2">
        <f t="shared" si="70"/>
        <v>287.79363793079938</v>
      </c>
      <c r="N243" s="2">
        <f t="shared" si="70"/>
        <v>287.79363793079938</v>
      </c>
      <c r="O243" s="2">
        <f t="shared" si="70"/>
        <v>287.79363793079938</v>
      </c>
      <c r="P243" s="2">
        <f t="shared" si="70"/>
        <v>287.79363793079938</v>
      </c>
      <c r="Q243" s="2">
        <f t="shared" si="70"/>
        <v>287.79363793079938</v>
      </c>
      <c r="R243" s="2">
        <f t="shared" si="70"/>
        <v>287.79363793079938</v>
      </c>
      <c r="S243" s="2">
        <f t="shared" si="70"/>
        <v>287.79363793079938</v>
      </c>
      <c r="T243" s="2">
        <f t="shared" si="70"/>
        <v>287.79363793079938</v>
      </c>
      <c r="U243" s="2">
        <f t="shared" si="70"/>
        <v>287.79363793079938</v>
      </c>
      <c r="V243" s="2">
        <f t="shared" si="70"/>
        <v>287.79363793079938</v>
      </c>
      <c r="W243" s="2">
        <f t="shared" si="70"/>
        <v>287.79363793079938</v>
      </c>
      <c r="X243" s="2">
        <f t="shared" si="70"/>
        <v>287.79363793079938</v>
      </c>
      <c r="Y243" s="2">
        <f t="shared" si="70"/>
        <v>287.79363793079938</v>
      </c>
      <c r="Z243" s="2">
        <f t="shared" si="70"/>
        <v>287.79363793079938</v>
      </c>
      <c r="AA243" s="2">
        <f t="shared" si="70"/>
        <v>287.79363793079938</v>
      </c>
      <c r="AB243" s="2">
        <f t="shared" si="70"/>
        <v>287.79363793079938</v>
      </c>
      <c r="AC243" s="2">
        <f t="shared" si="70"/>
        <v>287.79363793079938</v>
      </c>
      <c r="AD243" s="2">
        <f t="shared" si="70"/>
        <v>287.79363793079938</v>
      </c>
      <c r="AE243" s="2">
        <f t="shared" si="70"/>
        <v>287.79363793079938</v>
      </c>
      <c r="AF243" s="28"/>
      <c r="AG243" s="11"/>
    </row>
    <row r="244" spans="1:33">
      <c r="A244" s="14"/>
      <c r="B244" s="5" t="s">
        <v>1016</v>
      </c>
      <c r="D244" t="s">
        <v>1017</v>
      </c>
      <c r="E244" s="12"/>
      <c r="F244" s="6"/>
      <c r="G244" s="2"/>
      <c r="H244" s="2" t="s">
        <v>902</v>
      </c>
      <c r="J244" s="10"/>
      <c r="K244" s="9"/>
      <c r="AF244" s="2"/>
    </row>
    <row r="245" spans="1:33">
      <c r="A245" s="20" t="s">
        <v>914</v>
      </c>
      <c r="B245" s="11"/>
      <c r="C245" s="11"/>
      <c r="D245" s="11"/>
      <c r="E245" s="27"/>
      <c r="F245" s="6"/>
      <c r="G245" s="19">
        <f>SUM(H245:AE245)/24</f>
        <v>2.5618512323568008</v>
      </c>
      <c r="H245" s="24">
        <f t="shared" ref="H245:AE245" si="71">$M$9*($F$9+273)^4*$F$10*$F$18</f>
        <v>2.5618512323567995</v>
      </c>
      <c r="I245" s="24">
        <f t="shared" si="71"/>
        <v>2.5618512323567995</v>
      </c>
      <c r="J245" s="24">
        <f t="shared" si="71"/>
        <v>2.5618512323567995</v>
      </c>
      <c r="K245" s="24">
        <f t="shared" si="71"/>
        <v>2.5618512323567995</v>
      </c>
      <c r="L245" s="24">
        <f t="shared" si="71"/>
        <v>2.5618512323567995</v>
      </c>
      <c r="M245" s="24">
        <f t="shared" si="71"/>
        <v>2.5618512323567995</v>
      </c>
      <c r="N245" s="24">
        <f t="shared" si="71"/>
        <v>2.5618512323567995</v>
      </c>
      <c r="O245" s="24">
        <f t="shared" si="71"/>
        <v>2.5618512323567995</v>
      </c>
      <c r="P245" s="24">
        <f t="shared" si="71"/>
        <v>2.5618512323567995</v>
      </c>
      <c r="Q245" s="24">
        <f t="shared" si="71"/>
        <v>2.5618512323567995</v>
      </c>
      <c r="R245" s="24">
        <f t="shared" si="71"/>
        <v>2.5618512323567995</v>
      </c>
      <c r="S245" s="24">
        <f t="shared" si="71"/>
        <v>2.5618512323567995</v>
      </c>
      <c r="T245" s="24">
        <f t="shared" si="71"/>
        <v>2.5618512323567995</v>
      </c>
      <c r="U245" s="24">
        <f t="shared" si="71"/>
        <v>2.5618512323567995</v>
      </c>
      <c r="V245" s="24">
        <f t="shared" si="71"/>
        <v>2.5618512323567995</v>
      </c>
      <c r="W245" s="24">
        <f t="shared" si="71"/>
        <v>2.5618512323567995</v>
      </c>
      <c r="X245" s="24">
        <f t="shared" si="71"/>
        <v>2.5618512323567995</v>
      </c>
      <c r="Y245" s="24">
        <f t="shared" si="71"/>
        <v>2.5618512323567995</v>
      </c>
      <c r="Z245" s="24">
        <f t="shared" si="71"/>
        <v>2.5618512323567995</v>
      </c>
      <c r="AA245" s="24">
        <f t="shared" si="71"/>
        <v>2.5618512323567995</v>
      </c>
      <c r="AB245" s="24">
        <f t="shared" si="71"/>
        <v>2.5618512323567995</v>
      </c>
      <c r="AC245" s="24">
        <f t="shared" si="71"/>
        <v>2.5618512323567995</v>
      </c>
      <c r="AD245" s="24">
        <f t="shared" si="71"/>
        <v>2.5618512323567995</v>
      </c>
      <c r="AE245" s="24">
        <f t="shared" si="71"/>
        <v>2.5618512323567995</v>
      </c>
      <c r="AF245" s="28"/>
      <c r="AG245" s="11"/>
    </row>
    <row r="246" spans="1:33">
      <c r="A246" s="20"/>
      <c r="B246" s="5" t="s">
        <v>923</v>
      </c>
      <c r="C246" s="11"/>
      <c r="D246" t="s">
        <v>743</v>
      </c>
      <c r="E246" s="27"/>
      <c r="F246" s="6"/>
      <c r="G246" s="28"/>
      <c r="H246" t="s">
        <v>717</v>
      </c>
      <c r="I246" s="29"/>
      <c r="J246" s="11"/>
      <c r="K246" s="2" t="s">
        <v>719</v>
      </c>
      <c r="L246" s="11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11"/>
    </row>
    <row r="247" spans="1:33">
      <c r="A247" s="20"/>
      <c r="B247" s="27" t="s">
        <v>925</v>
      </c>
      <c r="C247" s="11" t="s">
        <v>924</v>
      </c>
      <c r="E247" s="27"/>
      <c r="F247" s="6"/>
      <c r="G247" s="28"/>
      <c r="I247" s="29"/>
      <c r="J247" s="11"/>
      <c r="K247" s="2"/>
      <c r="L247" s="11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11"/>
    </row>
    <row r="248" spans="1:33">
      <c r="A248" s="20"/>
      <c r="B248" s="14"/>
      <c r="C248" t="s">
        <v>926</v>
      </c>
      <c r="E248" s="27"/>
      <c r="F248" s="6"/>
      <c r="G248" s="28"/>
      <c r="I248" s="29"/>
      <c r="J248" s="11"/>
      <c r="K248" s="2"/>
      <c r="L248" s="11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11"/>
    </row>
    <row r="249" spans="1:33">
      <c r="A249" s="20"/>
      <c r="B249" s="16" t="s">
        <v>742</v>
      </c>
      <c r="C249" s="11"/>
      <c r="D249" s="11"/>
      <c r="E249" s="21"/>
      <c r="F249" s="21"/>
      <c r="G249" s="82">
        <f>G229+G235+G245+G243</f>
        <v>505.16562036842964</v>
      </c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8"/>
      <c r="AG249" s="11"/>
    </row>
    <row r="250" spans="1:33">
      <c r="A250" s="20"/>
      <c r="B250" s="16" t="s">
        <v>730</v>
      </c>
      <c r="C250" s="11"/>
      <c r="D250" s="11"/>
      <c r="E250" s="21"/>
      <c r="F250" s="21"/>
      <c r="G250" s="82">
        <f>G226-G249</f>
        <v>5.035395487868243</v>
      </c>
      <c r="H250" s="24"/>
      <c r="I250" s="32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8"/>
      <c r="AG250" s="11"/>
    </row>
    <row r="251" spans="1:33">
      <c r="A251" s="20"/>
      <c r="B251" s="16"/>
      <c r="C251" s="11"/>
      <c r="D251" s="11"/>
      <c r="E251" s="21"/>
      <c r="F251" s="21"/>
      <c r="G251" s="82"/>
      <c r="I251" s="32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8"/>
      <c r="AG251" s="11"/>
    </row>
    <row r="252" spans="1:33">
      <c r="A252" s="3"/>
      <c r="B252" s="16"/>
      <c r="E252" s="12"/>
      <c r="F252" s="6"/>
      <c r="G252" s="32"/>
      <c r="H252" s="2"/>
      <c r="I252" s="2"/>
      <c r="K252" s="10"/>
      <c r="L252" s="9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3" ht="18.75">
      <c r="A253" s="85" t="s">
        <v>507</v>
      </c>
      <c r="B253" s="30" t="s">
        <v>609</v>
      </c>
      <c r="H253" s="4" t="s">
        <v>484</v>
      </c>
      <c r="I253" s="4" t="s">
        <v>486</v>
      </c>
      <c r="J253" s="4" t="s">
        <v>485</v>
      </c>
      <c r="K253" s="4" t="s">
        <v>487</v>
      </c>
      <c r="L253" s="4" t="s">
        <v>488</v>
      </c>
      <c r="M253" s="4" t="s">
        <v>489</v>
      </c>
      <c r="N253" s="4" t="s">
        <v>490</v>
      </c>
      <c r="O253" s="4" t="s">
        <v>491</v>
      </c>
      <c r="P253" s="4" t="s">
        <v>494</v>
      </c>
      <c r="Q253" s="4" t="s">
        <v>492</v>
      </c>
      <c r="R253" s="4" t="s">
        <v>495</v>
      </c>
      <c r="S253" s="4" t="s">
        <v>493</v>
      </c>
      <c r="T253" s="4" t="s">
        <v>515</v>
      </c>
      <c r="U253" s="4" t="s">
        <v>517</v>
      </c>
      <c r="V253" s="4" t="s">
        <v>518</v>
      </c>
      <c r="W253" s="4" t="s">
        <v>516</v>
      </c>
      <c r="X253" s="4" t="s">
        <v>519</v>
      </c>
      <c r="Y253" s="4" t="s">
        <v>520</v>
      </c>
      <c r="Z253" s="4" t="s">
        <v>521</v>
      </c>
      <c r="AA253" s="4" t="s">
        <v>522</v>
      </c>
      <c r="AB253" s="4" t="s">
        <v>523</v>
      </c>
      <c r="AC253" s="4" t="s">
        <v>524</v>
      </c>
      <c r="AD253" s="4" t="s">
        <v>525</v>
      </c>
      <c r="AE253" s="4" t="s">
        <v>526</v>
      </c>
      <c r="AF253" s="2"/>
    </row>
    <row r="254" spans="1:33">
      <c r="A254" s="3" t="s">
        <v>722</v>
      </c>
      <c r="G254" t="s">
        <v>535</v>
      </c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2"/>
    </row>
    <row r="255" spans="1:33">
      <c r="A255" t="s">
        <v>561</v>
      </c>
      <c r="B255" s="11"/>
      <c r="C255" s="11"/>
      <c r="D255" s="5" t="s">
        <v>905</v>
      </c>
      <c r="E255" s="12"/>
      <c r="F255" s="6"/>
      <c r="G255" s="2">
        <f>SUM(H255:AE255)/48</f>
        <v>280.27298317302285</v>
      </c>
      <c r="H255" s="2">
        <f>H$64</f>
        <v>57.959142451783471</v>
      </c>
      <c r="I255" s="2">
        <f t="shared" ref="I255:AE255" si="72">I$64</f>
        <v>172.04062231293</v>
      </c>
      <c r="J255" s="2">
        <f t="shared" si="72"/>
        <v>283.28172087777227</v>
      </c>
      <c r="K255" s="2">
        <f t="shared" si="72"/>
        <v>389.39263549614606</v>
      </c>
      <c r="L255" s="2">
        <f t="shared" si="72"/>
        <v>488.99790893945635</v>
      </c>
      <c r="M255" s="2">
        <f t="shared" si="72"/>
        <v>580.31268855220014</v>
      </c>
      <c r="N255" s="2">
        <f t="shared" si="72"/>
        <v>661.48235294617166</v>
      </c>
      <c r="O255" s="2">
        <f t="shared" si="72"/>
        <v>731.46772369833616</v>
      </c>
      <c r="P255" s="2">
        <f t="shared" si="72"/>
        <v>788.95747478089834</v>
      </c>
      <c r="Q255" s="2">
        <f t="shared" si="72"/>
        <v>832.74460956695975</v>
      </c>
      <c r="R255" s="2">
        <f t="shared" si="72"/>
        <v>862.50408463262829</v>
      </c>
      <c r="S255" s="2">
        <f t="shared" si="72"/>
        <v>877.41063189726526</v>
      </c>
      <c r="T255" s="2">
        <f t="shared" si="72"/>
        <v>877.41063189726526</v>
      </c>
      <c r="U255" s="2">
        <f t="shared" si="72"/>
        <v>862.50408463262829</v>
      </c>
      <c r="V255" s="2">
        <f t="shared" si="72"/>
        <v>832.74460956695975</v>
      </c>
      <c r="W255" s="2">
        <f t="shared" si="72"/>
        <v>788.95747478089834</v>
      </c>
      <c r="X255" s="2">
        <f t="shared" si="72"/>
        <v>731.46772369833616</v>
      </c>
      <c r="Y255" s="2">
        <f t="shared" si="72"/>
        <v>661.48235294617166</v>
      </c>
      <c r="Z255" s="2">
        <f t="shared" si="72"/>
        <v>580.31268855220014</v>
      </c>
      <c r="AA255" s="2">
        <f t="shared" si="72"/>
        <v>488.99790893945635</v>
      </c>
      <c r="AB255" s="2">
        <f t="shared" si="72"/>
        <v>389.39263549614606</v>
      </c>
      <c r="AC255" s="2">
        <f t="shared" si="72"/>
        <v>283.28172087777227</v>
      </c>
      <c r="AD255" s="2">
        <f t="shared" si="72"/>
        <v>172.04062231293</v>
      </c>
      <c r="AE255" s="2">
        <f t="shared" si="72"/>
        <v>57.959142451783471</v>
      </c>
      <c r="AF255" s="2"/>
    </row>
    <row r="256" spans="1:33">
      <c r="A256" s="20" t="s">
        <v>824</v>
      </c>
      <c r="B256" s="11"/>
      <c r="C256" s="11"/>
      <c r="D256" t="s">
        <v>906</v>
      </c>
      <c r="E256" s="12"/>
      <c r="F256" s="18"/>
      <c r="G256" s="19">
        <f>SUM(H256:AE256)/48</f>
        <v>28.027298317302293</v>
      </c>
      <c r="H256" s="2">
        <f>H$64*$P$20</f>
        <v>5.7959142451783476</v>
      </c>
      <c r="I256" s="2">
        <f t="shared" ref="I256:AE256" si="73">I$64*$P$20</f>
        <v>17.204062231293001</v>
      </c>
      <c r="J256" s="2">
        <f t="shared" si="73"/>
        <v>28.328172087777229</v>
      </c>
      <c r="K256" s="2">
        <f t="shared" si="73"/>
        <v>38.939263549614608</v>
      </c>
      <c r="L256" s="2">
        <f t="shared" si="73"/>
        <v>48.899790893945635</v>
      </c>
      <c r="M256" s="2">
        <f t="shared" si="73"/>
        <v>58.03126885522002</v>
      </c>
      <c r="N256" s="2">
        <f t="shared" si="73"/>
        <v>66.148235294617166</v>
      </c>
      <c r="O256" s="2">
        <f t="shared" si="73"/>
        <v>73.146772369833613</v>
      </c>
      <c r="P256" s="2">
        <f t="shared" si="73"/>
        <v>78.895747478089845</v>
      </c>
      <c r="Q256" s="2">
        <f t="shared" si="73"/>
        <v>83.274460956695975</v>
      </c>
      <c r="R256" s="2">
        <f t="shared" si="73"/>
        <v>86.250408463262829</v>
      </c>
      <c r="S256" s="2">
        <f t="shared" si="73"/>
        <v>87.741063189726532</v>
      </c>
      <c r="T256" s="2">
        <f t="shared" si="73"/>
        <v>87.741063189726532</v>
      </c>
      <c r="U256" s="2">
        <f t="shared" si="73"/>
        <v>86.250408463262829</v>
      </c>
      <c r="V256" s="2">
        <f t="shared" si="73"/>
        <v>83.274460956695975</v>
      </c>
      <c r="W256" s="2">
        <f t="shared" si="73"/>
        <v>78.895747478089845</v>
      </c>
      <c r="X256" s="2">
        <f t="shared" si="73"/>
        <v>73.146772369833613</v>
      </c>
      <c r="Y256" s="2">
        <f t="shared" si="73"/>
        <v>66.148235294617166</v>
      </c>
      <c r="Z256" s="2">
        <f t="shared" si="73"/>
        <v>58.03126885522002</v>
      </c>
      <c r="AA256" s="2">
        <f t="shared" si="73"/>
        <v>48.899790893945635</v>
      </c>
      <c r="AB256" s="2">
        <f t="shared" si="73"/>
        <v>38.939263549614608</v>
      </c>
      <c r="AC256" s="2">
        <f t="shared" si="73"/>
        <v>28.328172087777229</v>
      </c>
      <c r="AD256" s="2">
        <f t="shared" si="73"/>
        <v>17.204062231293001</v>
      </c>
      <c r="AE256" s="2">
        <f t="shared" si="73"/>
        <v>5.7959142451783476</v>
      </c>
      <c r="AF256" s="2"/>
    </row>
    <row r="257" spans="1:33">
      <c r="A257" s="20"/>
      <c r="B257" s="5" t="s">
        <v>944</v>
      </c>
      <c r="C257" s="11"/>
      <c r="D257" t="s">
        <v>768</v>
      </c>
      <c r="E257" s="12"/>
      <c r="F257" s="18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3">
      <c r="A258" s="20" t="s">
        <v>825</v>
      </c>
      <c r="D258" t="s">
        <v>907</v>
      </c>
      <c r="G258" s="19">
        <f>SUM(H258:AE258)/24</f>
        <v>365.61213149699984</v>
      </c>
      <c r="H258" s="2">
        <f>$P$24</f>
        <v>365.61213149700001</v>
      </c>
      <c r="I258" s="2">
        <f t="shared" ref="I258:AE258" si="74">$P$24</f>
        <v>365.61213149700001</v>
      </c>
      <c r="J258" s="2">
        <f t="shared" si="74"/>
        <v>365.61213149700001</v>
      </c>
      <c r="K258" s="2">
        <f t="shared" si="74"/>
        <v>365.61213149700001</v>
      </c>
      <c r="L258" s="2">
        <f t="shared" si="74"/>
        <v>365.61213149700001</v>
      </c>
      <c r="M258" s="2">
        <f t="shared" si="74"/>
        <v>365.61213149700001</v>
      </c>
      <c r="N258" s="2">
        <f t="shared" si="74"/>
        <v>365.61213149700001</v>
      </c>
      <c r="O258" s="2">
        <f t="shared" si="74"/>
        <v>365.61213149700001</v>
      </c>
      <c r="P258" s="2">
        <f t="shared" si="74"/>
        <v>365.61213149700001</v>
      </c>
      <c r="Q258" s="2">
        <f t="shared" si="74"/>
        <v>365.61213149700001</v>
      </c>
      <c r="R258" s="2">
        <f t="shared" si="74"/>
        <v>365.61213149700001</v>
      </c>
      <c r="S258" s="2">
        <f t="shared" si="74"/>
        <v>365.61213149700001</v>
      </c>
      <c r="T258" s="2">
        <f t="shared" si="74"/>
        <v>365.61213149700001</v>
      </c>
      <c r="U258" s="2">
        <f t="shared" si="74"/>
        <v>365.61213149700001</v>
      </c>
      <c r="V258" s="2">
        <f t="shared" si="74"/>
        <v>365.61213149700001</v>
      </c>
      <c r="W258" s="2">
        <f t="shared" si="74"/>
        <v>365.61213149700001</v>
      </c>
      <c r="X258" s="2">
        <f t="shared" si="74"/>
        <v>365.61213149700001</v>
      </c>
      <c r="Y258" s="2">
        <f t="shared" si="74"/>
        <v>365.61213149700001</v>
      </c>
      <c r="Z258" s="2">
        <f t="shared" si="74"/>
        <v>365.61213149700001</v>
      </c>
      <c r="AA258" s="2">
        <f t="shared" si="74"/>
        <v>365.61213149700001</v>
      </c>
      <c r="AB258" s="2">
        <f t="shared" si="74"/>
        <v>365.61213149700001</v>
      </c>
      <c r="AC258" s="2">
        <f t="shared" si="74"/>
        <v>365.61213149700001</v>
      </c>
      <c r="AD258" s="2">
        <f t="shared" si="74"/>
        <v>365.61213149700001</v>
      </c>
      <c r="AE258" s="2">
        <f t="shared" si="74"/>
        <v>365.61213149700001</v>
      </c>
      <c r="AF258" s="2"/>
    </row>
    <row r="259" spans="1:33">
      <c r="A259" s="20"/>
      <c r="B259" s="16" t="s">
        <v>720</v>
      </c>
      <c r="G259" s="32">
        <f>G256+G258</f>
        <v>393.6394298143021</v>
      </c>
      <c r="H259" s="3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3">
      <c r="A260" s="39" t="s">
        <v>507</v>
      </c>
      <c r="B260" s="16"/>
      <c r="G260" s="3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3">
      <c r="A261" s="3" t="s">
        <v>723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3" s="27" customFormat="1">
      <c r="A262" s="27" t="s">
        <v>1032</v>
      </c>
      <c r="G262" s="55"/>
      <c r="H262" s="101">
        <f ca="1">Tabelle3!D$16</f>
        <v>0.21120258909954495</v>
      </c>
      <c r="I262" s="101">
        <f ca="1">Tabelle3!E$16</f>
        <v>7.6886023502538398E-2</v>
      </c>
      <c r="J262" s="101">
        <f ca="1">Tabelle3!F$16</f>
        <v>4.8596888625024558E-2</v>
      </c>
      <c r="K262" s="101">
        <f ca="1">Tabelle3!G$16</f>
        <v>3.5605271467975146E-2</v>
      </c>
      <c r="L262" s="101">
        <f ca="1">Tabelle3!H$16</f>
        <v>2.7706162065075712E-2</v>
      </c>
      <c r="M262" s="101">
        <f ca="1">Tabelle3!I$16</f>
        <v>2.3441112641531377E-2</v>
      </c>
      <c r="N262" s="101">
        <f ca="1">Tabelle3!J$16</f>
        <v>2.0669176106562142E-2</v>
      </c>
      <c r="O262" s="101">
        <f ca="1">Tabelle3!K$16</f>
        <v>1.8742897890334977E-2</v>
      </c>
      <c r="P262" s="101">
        <f ca="1">Tabelle3!L$16</f>
        <v>1.7314984648620687E-2</v>
      </c>
      <c r="Q262" s="101">
        <f ca="1">Tabelle3!M$16</f>
        <v>1.645736897728297E-2</v>
      </c>
      <c r="R262" s="101">
        <f ca="1">Tabelle3!N$16</f>
        <v>1.5955751709737453E-2</v>
      </c>
      <c r="S262" s="101">
        <f ca="1">Tabelle3!O$16</f>
        <v>1.570021083759162E-2</v>
      </c>
      <c r="T262" s="101">
        <f ca="1">Tabelle3!P$16</f>
        <v>1.570021083759162E-2</v>
      </c>
      <c r="U262" s="101">
        <f ca="1">Tabelle3!Q$16</f>
        <v>1.5955751709737453E-2</v>
      </c>
      <c r="V262" s="101">
        <f ca="1">Tabelle3!R$16</f>
        <v>1.645736897728297E-2</v>
      </c>
      <c r="W262" s="101">
        <f ca="1">Tabelle3!S$16</f>
        <v>1.7314984648620687E-2</v>
      </c>
      <c r="X262" s="101">
        <f ca="1">Tabelle3!T$16</f>
        <v>1.8742897890334977E-2</v>
      </c>
      <c r="Y262" s="101">
        <f ca="1">Tabelle3!U$16</f>
        <v>2.0669176106562142E-2</v>
      </c>
      <c r="Z262" s="101">
        <f ca="1">Tabelle3!V$16</f>
        <v>2.3441112641531377E-2</v>
      </c>
      <c r="AA262" s="101">
        <f ca="1">Tabelle3!W$16</f>
        <v>2.7706162065075712E-2</v>
      </c>
      <c r="AB262" s="101">
        <f ca="1">Tabelle3!X$16</f>
        <v>3.5605271467975146E-2</v>
      </c>
      <c r="AC262" s="101">
        <f ca="1">Tabelle3!Y$16</f>
        <v>4.8596888625024558E-2</v>
      </c>
      <c r="AD262" s="101">
        <f ca="1">Tabelle3!Z$16</f>
        <v>7.6886023502538398E-2</v>
      </c>
      <c r="AE262" s="101">
        <f ca="1">Tabelle3!AA$16</f>
        <v>0.21120258909954495</v>
      </c>
      <c r="AF262" s="55"/>
    </row>
    <row r="263" spans="1:33" s="27" customFormat="1">
      <c r="A263" s="27" t="s">
        <v>830</v>
      </c>
      <c r="F263" s="10">
        <f ca="1">Tabelle3!J$80</f>
        <v>2.1260406910099214</v>
      </c>
      <c r="H263" s="107">
        <f ca="1">$F$10*$F$142</f>
        <v>2.1260406910099214E-2</v>
      </c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55"/>
    </row>
    <row r="264" spans="1:33" ht="15" customHeight="1">
      <c r="A264" s="3" t="s">
        <v>831</v>
      </c>
      <c r="B264" s="11"/>
      <c r="C264" s="11"/>
      <c r="D264" s="11"/>
      <c r="E264" s="27"/>
      <c r="F264" s="6"/>
      <c r="G264" s="19">
        <f>SUM(H264:AE264)/48</f>
        <v>3.386171590177542</v>
      </c>
      <c r="H264" s="24">
        <f>H$64*H$262*$F$16</f>
        <v>6.1205604739030086</v>
      </c>
      <c r="I264" s="24">
        <f>I$64*I$262*$F$16</f>
        <v>6.6137596652716342</v>
      </c>
      <c r="J264" s="24">
        <f t="shared" ref="J264:AE264" si="75">J$64*J$262*$F$16</f>
        <v>6.8833051195011965</v>
      </c>
      <c r="K264" s="24">
        <f t="shared" si="75"/>
        <v>6.9322152472352876</v>
      </c>
      <c r="L264" s="24">
        <f t="shared" si="75"/>
        <v>6.7741276572798563</v>
      </c>
      <c r="M264" s="24">
        <f t="shared" si="75"/>
        <v>6.8015875498310194</v>
      </c>
      <c r="N264" s="24">
        <f t="shared" si="75"/>
        <v>6.8361476222137583</v>
      </c>
      <c r="O264" s="24">
        <f t="shared" si="75"/>
        <v>6.8549124276768367</v>
      </c>
      <c r="P264" s="24">
        <f t="shared" si="75"/>
        <v>6.8303932821228983</v>
      </c>
      <c r="Q264" s="24">
        <f t="shared" si="75"/>
        <v>6.8523926517434512</v>
      </c>
      <c r="R264" s="24">
        <f t="shared" si="75"/>
        <v>6.8809505115162981</v>
      </c>
      <c r="S264" s="24">
        <f t="shared" si="75"/>
        <v>6.8877659559657776</v>
      </c>
      <c r="T264" s="24">
        <f t="shared" si="75"/>
        <v>6.8877659559657776</v>
      </c>
      <c r="U264" s="24">
        <f t="shared" si="75"/>
        <v>6.8809505115162981</v>
      </c>
      <c r="V264" s="24">
        <f t="shared" si="75"/>
        <v>6.8523926517434512</v>
      </c>
      <c r="W264" s="24">
        <f t="shared" si="75"/>
        <v>6.8303932821228983</v>
      </c>
      <c r="X264" s="24">
        <f t="shared" si="75"/>
        <v>6.8549124276768367</v>
      </c>
      <c r="Y264" s="24">
        <f t="shared" si="75"/>
        <v>6.8361476222137583</v>
      </c>
      <c r="Z264" s="24">
        <f t="shared" si="75"/>
        <v>6.8015875498310194</v>
      </c>
      <c r="AA264" s="24">
        <f t="shared" si="75"/>
        <v>6.7741276572798563</v>
      </c>
      <c r="AB264" s="24">
        <f t="shared" si="75"/>
        <v>6.9322152472352876</v>
      </c>
      <c r="AC264" s="24">
        <f t="shared" si="75"/>
        <v>6.8833051195011965</v>
      </c>
      <c r="AD264" s="24">
        <f t="shared" si="75"/>
        <v>6.6137596652716342</v>
      </c>
      <c r="AE264" s="24">
        <f t="shared" si="75"/>
        <v>6.1205604739030086</v>
      </c>
      <c r="AF264" s="28"/>
      <c r="AG264" s="11"/>
    </row>
    <row r="265" spans="1:33">
      <c r="A265" s="3"/>
      <c r="B265" s="5" t="s">
        <v>939</v>
      </c>
      <c r="C265" s="11"/>
      <c r="D265" t="s">
        <v>1033</v>
      </c>
      <c r="F265" s="27"/>
      <c r="G265" t="s">
        <v>854</v>
      </c>
      <c r="I265" s="2"/>
      <c r="K265" s="2"/>
      <c r="M265" s="2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11"/>
    </row>
    <row r="266" spans="1:33">
      <c r="A266" s="3"/>
      <c r="C266" s="11"/>
      <c r="D266" s="2" t="s">
        <v>940</v>
      </c>
      <c r="F266" s="27"/>
      <c r="G266" s="2"/>
      <c r="I266" s="2"/>
      <c r="K266" s="2"/>
      <c r="M266" s="2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11"/>
    </row>
    <row r="267" spans="1:33">
      <c r="A267" t="s">
        <v>879</v>
      </c>
      <c r="C267" s="11"/>
      <c r="G267" s="98">
        <f>SUM(H267:AE267)/48</f>
        <v>276.8190881510418</v>
      </c>
      <c r="H267" s="97">
        <f>H$64*(1-($F$16+$F$13)*H$262)</f>
        <v>51.716170768402407</v>
      </c>
      <c r="I267" s="97">
        <f t="shared" ref="I267:AE267" si="76">I$64*(1-($F$16+$F$13)*I$262)</f>
        <v>165.29458745435292</v>
      </c>
      <c r="J267" s="97">
        <f t="shared" si="76"/>
        <v>276.26074965588106</v>
      </c>
      <c r="K267" s="97">
        <f t="shared" si="76"/>
        <v>382.32177594396609</v>
      </c>
      <c r="L267" s="97">
        <f t="shared" si="76"/>
        <v>482.0882987290309</v>
      </c>
      <c r="M267" s="97">
        <f t="shared" si="76"/>
        <v>573.37506925137245</v>
      </c>
      <c r="N267" s="97">
        <f t="shared" si="76"/>
        <v>654.50948237151363</v>
      </c>
      <c r="O267" s="97">
        <f t="shared" si="76"/>
        <v>724.47571302210577</v>
      </c>
      <c r="P267" s="97">
        <f t="shared" si="76"/>
        <v>781.99047363313298</v>
      </c>
      <c r="Q267" s="97">
        <f t="shared" si="76"/>
        <v>825.75516906218149</v>
      </c>
      <c r="R267" s="97">
        <f t="shared" si="76"/>
        <v>855.48551511088158</v>
      </c>
      <c r="S267" s="97">
        <f t="shared" si="76"/>
        <v>870.38511062218015</v>
      </c>
      <c r="T267" s="97">
        <f t="shared" si="76"/>
        <v>870.38511062218015</v>
      </c>
      <c r="U267" s="97">
        <f t="shared" si="76"/>
        <v>855.48551511088158</v>
      </c>
      <c r="V267" s="97">
        <f t="shared" si="76"/>
        <v>825.75516906218149</v>
      </c>
      <c r="W267" s="97">
        <f t="shared" si="76"/>
        <v>781.99047363313298</v>
      </c>
      <c r="X267" s="97">
        <f t="shared" si="76"/>
        <v>724.47571302210577</v>
      </c>
      <c r="Y267" s="97">
        <f t="shared" si="76"/>
        <v>654.50948237151363</v>
      </c>
      <c r="Z267" s="97">
        <f t="shared" si="76"/>
        <v>573.37506925137245</v>
      </c>
      <c r="AA267" s="97">
        <f t="shared" si="76"/>
        <v>482.0882987290309</v>
      </c>
      <c r="AB267" s="97">
        <f t="shared" si="76"/>
        <v>382.32177594396609</v>
      </c>
      <c r="AC267" s="97">
        <f t="shared" si="76"/>
        <v>276.26074965588106</v>
      </c>
      <c r="AD267" s="97">
        <f t="shared" si="76"/>
        <v>165.29458745435292</v>
      </c>
      <c r="AE267" s="97">
        <f t="shared" si="76"/>
        <v>51.716170768402407</v>
      </c>
      <c r="AF267" s="28"/>
      <c r="AG267" s="11"/>
    </row>
    <row r="268" spans="1:33">
      <c r="B268" s="24" t="s">
        <v>951</v>
      </c>
      <c r="D268" s="2" t="s">
        <v>961</v>
      </c>
      <c r="E268" s="24" t="s">
        <v>900</v>
      </c>
      <c r="H268" t="s">
        <v>853</v>
      </c>
      <c r="AF268" s="28"/>
      <c r="AG268" s="11"/>
    </row>
    <row r="269" spans="1:33">
      <c r="A269" t="s">
        <v>832</v>
      </c>
      <c r="C269" s="11"/>
      <c r="D269" s="24"/>
      <c r="G269" s="97">
        <f>SUM(H269:AE269)/48</f>
        <v>27.681908815104169</v>
      </c>
      <c r="H269" s="97">
        <f t="shared" ref="H269:AE269" si="77">H267*$P$20</f>
        <v>5.1716170768402412</v>
      </c>
      <c r="I269" s="97">
        <f t="shared" si="77"/>
        <v>16.529458745435292</v>
      </c>
      <c r="J269" s="97">
        <f t="shared" si="77"/>
        <v>27.626074965588106</v>
      </c>
      <c r="K269" s="97">
        <f t="shared" si="77"/>
        <v>38.23217759439661</v>
      </c>
      <c r="L269" s="97">
        <f t="shared" si="77"/>
        <v>48.208829872903095</v>
      </c>
      <c r="M269" s="97">
        <f t="shared" si="77"/>
        <v>57.337506925137248</v>
      </c>
      <c r="N269" s="97">
        <f t="shared" si="77"/>
        <v>65.450948237151366</v>
      </c>
      <c r="O269" s="97">
        <f t="shared" si="77"/>
        <v>72.447571302210577</v>
      </c>
      <c r="P269" s="97">
        <f t="shared" si="77"/>
        <v>78.199047363313298</v>
      </c>
      <c r="Q269" s="97">
        <f t="shared" si="77"/>
        <v>82.575516906218155</v>
      </c>
      <c r="R269" s="97">
        <f t="shared" si="77"/>
        <v>85.548551511088164</v>
      </c>
      <c r="S269" s="97">
        <f t="shared" si="77"/>
        <v>87.038511062218021</v>
      </c>
      <c r="T269" s="97">
        <f t="shared" si="77"/>
        <v>87.038511062218021</v>
      </c>
      <c r="U269" s="97">
        <f t="shared" si="77"/>
        <v>85.548551511088164</v>
      </c>
      <c r="V269" s="97">
        <f t="shared" si="77"/>
        <v>82.575516906218155</v>
      </c>
      <c r="W269" s="97">
        <f t="shared" si="77"/>
        <v>78.199047363313298</v>
      </c>
      <c r="X269" s="97">
        <f t="shared" si="77"/>
        <v>72.447571302210577</v>
      </c>
      <c r="Y269" s="97">
        <f t="shared" si="77"/>
        <v>65.450948237151366</v>
      </c>
      <c r="Z269" s="97">
        <f t="shared" si="77"/>
        <v>57.337506925137248</v>
      </c>
      <c r="AA269" s="97">
        <f t="shared" si="77"/>
        <v>48.208829872903095</v>
      </c>
      <c r="AB269" s="97">
        <f t="shared" si="77"/>
        <v>38.23217759439661</v>
      </c>
      <c r="AC269" s="97">
        <f t="shared" si="77"/>
        <v>27.626074965588106</v>
      </c>
      <c r="AD269" s="97">
        <f t="shared" si="77"/>
        <v>16.529458745435292</v>
      </c>
      <c r="AE269" s="97">
        <f t="shared" si="77"/>
        <v>5.1716170768402412</v>
      </c>
      <c r="AF269" s="28"/>
      <c r="AG269" s="11"/>
    </row>
    <row r="270" spans="1:33">
      <c r="B270" s="24" t="s">
        <v>912</v>
      </c>
      <c r="C270" s="14" t="s">
        <v>945</v>
      </c>
      <c r="D270" s="24" t="s">
        <v>1034</v>
      </c>
      <c r="F270" s="27"/>
      <c r="AF270" s="28"/>
      <c r="AG270" s="11"/>
    </row>
    <row r="271" spans="1:33">
      <c r="A271" s="20" t="s">
        <v>833</v>
      </c>
      <c r="B271" s="11"/>
      <c r="C271" s="11"/>
      <c r="D271" s="11"/>
      <c r="E271" s="27"/>
      <c r="F271" s="6"/>
      <c r="G271" s="19">
        <f>SUM(H271:AE271)/48</f>
        <v>27.381759205920918</v>
      </c>
      <c r="H271" s="24">
        <f>H269*(1-($F$16+$F$13)*$H$263)</f>
        <v>5.1155422282874525</v>
      </c>
      <c r="I271" s="24">
        <f t="shared" ref="I271:AE271" si="78">I269*(1-($F$16+$F$13)*$H$263)</f>
        <v>16.350233005780151</v>
      </c>
      <c r="J271" s="24">
        <f t="shared" si="78"/>
        <v>27.32653075208848</v>
      </c>
      <c r="K271" s="24">
        <f t="shared" si="78"/>
        <v>37.817633451511426</v>
      </c>
      <c r="L271" s="24">
        <f t="shared" si="78"/>
        <v>47.68611080962669</v>
      </c>
      <c r="M271" s="24">
        <f t="shared" si="78"/>
        <v>56.715807373633332</v>
      </c>
      <c r="N271" s="24">
        <f t="shared" si="78"/>
        <v>64.741276203142789</v>
      </c>
      <c r="O271" s="24">
        <f t="shared" si="78"/>
        <v>71.662036230988534</v>
      </c>
      <c r="P271" s="24">
        <f t="shared" si="78"/>
        <v>77.351150144180963</v>
      </c>
      <c r="Q271" s="24">
        <f t="shared" si="78"/>
        <v>81.680166470196795</v>
      </c>
      <c r="R271" s="24">
        <f t="shared" si="78"/>
        <v>84.62096503308355</v>
      </c>
      <c r="S271" s="24">
        <f t="shared" si="78"/>
        <v>86.094769239581737</v>
      </c>
      <c r="T271" s="24">
        <f t="shared" si="78"/>
        <v>86.094769239581737</v>
      </c>
      <c r="U271" s="24">
        <f t="shared" si="78"/>
        <v>84.62096503308355</v>
      </c>
      <c r="V271" s="24">
        <f t="shared" si="78"/>
        <v>81.680166470196795</v>
      </c>
      <c r="W271" s="24">
        <f t="shared" si="78"/>
        <v>77.351150144180963</v>
      </c>
      <c r="X271" s="24">
        <f t="shared" si="78"/>
        <v>71.662036230988534</v>
      </c>
      <c r="Y271" s="24">
        <f t="shared" si="78"/>
        <v>64.741276203142789</v>
      </c>
      <c r="Z271" s="24">
        <f t="shared" si="78"/>
        <v>56.715807373633332</v>
      </c>
      <c r="AA271" s="24">
        <f t="shared" si="78"/>
        <v>47.68611080962669</v>
      </c>
      <c r="AB271" s="24">
        <f t="shared" si="78"/>
        <v>37.817633451511426</v>
      </c>
      <c r="AC271" s="24">
        <f t="shared" si="78"/>
        <v>27.32653075208848</v>
      </c>
      <c r="AD271" s="24">
        <f t="shared" si="78"/>
        <v>16.350233005780151</v>
      </c>
      <c r="AE271" s="24">
        <f t="shared" si="78"/>
        <v>5.1155422282874525</v>
      </c>
      <c r="AF271" s="28"/>
      <c r="AG271" s="11"/>
    </row>
    <row r="272" spans="1:33">
      <c r="A272" s="20"/>
      <c r="B272" s="24" t="s">
        <v>1041</v>
      </c>
      <c r="C272" s="11"/>
      <c r="D272" t="s">
        <v>955</v>
      </c>
      <c r="G272" s="27"/>
      <c r="H272" s="24" t="s">
        <v>900</v>
      </c>
      <c r="K272" t="s">
        <v>853</v>
      </c>
      <c r="M272" s="28"/>
      <c r="O272" s="28"/>
      <c r="P272" s="28"/>
      <c r="Q272" s="11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11"/>
    </row>
    <row r="273" spans="1:33">
      <c r="A273" t="s">
        <v>834</v>
      </c>
      <c r="B273" s="5"/>
      <c r="C273" s="11"/>
      <c r="D273" s="5" t="s">
        <v>952</v>
      </c>
      <c r="F273" t="s">
        <v>953</v>
      </c>
      <c r="G273" s="97">
        <f>SUM(H273:AE273)/48</f>
        <v>0.29426432272868852</v>
      </c>
      <c r="H273" s="97">
        <f>H269*$H$263*$F$16</f>
        <v>5.4975341718420681E-2</v>
      </c>
      <c r="I273" s="97">
        <f t="shared" ref="I273:AE273" si="79">I269*$H$263*$F$16</f>
        <v>0.17571150946582617</v>
      </c>
      <c r="J273" s="97">
        <f t="shared" si="79"/>
        <v>0.29367079754865416</v>
      </c>
      <c r="K273" s="97">
        <f t="shared" si="79"/>
        <v>0.40641582635802503</v>
      </c>
      <c r="L273" s="97">
        <f t="shared" si="79"/>
        <v>0.51246966987883313</v>
      </c>
      <c r="M273" s="97">
        <f t="shared" si="79"/>
        <v>0.60950936421952473</v>
      </c>
      <c r="N273" s="97">
        <f t="shared" si="79"/>
        <v>0.69575689608683944</v>
      </c>
      <c r="O273" s="97">
        <f t="shared" si="79"/>
        <v>0.77013242276671157</v>
      </c>
      <c r="P273" s="97">
        <f t="shared" si="79"/>
        <v>0.83127178346308084</v>
      </c>
      <c r="Q273" s="97">
        <f t="shared" si="79"/>
        <v>0.87779454511898747</v>
      </c>
      <c r="R273" s="97">
        <f t="shared" si="79"/>
        <v>0.90939850784765863</v>
      </c>
      <c r="S273" s="97">
        <f t="shared" si="79"/>
        <v>0.92523708101596347</v>
      </c>
      <c r="T273" s="97">
        <f t="shared" si="79"/>
        <v>0.92523708101596347</v>
      </c>
      <c r="U273" s="97">
        <f t="shared" si="79"/>
        <v>0.90939850784765863</v>
      </c>
      <c r="V273" s="97">
        <f t="shared" si="79"/>
        <v>0.87779454511898747</v>
      </c>
      <c r="W273" s="97">
        <f t="shared" si="79"/>
        <v>0.83127178346308084</v>
      </c>
      <c r="X273" s="97">
        <f t="shared" si="79"/>
        <v>0.77013242276671157</v>
      </c>
      <c r="Y273" s="97">
        <f t="shared" si="79"/>
        <v>0.69575689608683944</v>
      </c>
      <c r="Z273" s="97">
        <f t="shared" si="79"/>
        <v>0.60950936421952473</v>
      </c>
      <c r="AA273" s="97">
        <f t="shared" si="79"/>
        <v>0.51246966987883313</v>
      </c>
      <c r="AB273" s="97">
        <f t="shared" si="79"/>
        <v>0.40641582635802503</v>
      </c>
      <c r="AC273" s="97">
        <f t="shared" si="79"/>
        <v>0.29367079754865416</v>
      </c>
      <c r="AD273" s="97">
        <f t="shared" si="79"/>
        <v>0.17571150946582617</v>
      </c>
      <c r="AE273" s="97">
        <f t="shared" si="79"/>
        <v>5.4975341718420681E-2</v>
      </c>
      <c r="AF273" s="28"/>
      <c r="AG273" s="11"/>
    </row>
    <row r="274" spans="1:33">
      <c r="A274" t="s">
        <v>909</v>
      </c>
      <c r="B274" s="5"/>
      <c r="C274" s="11"/>
      <c r="D274" s="5" t="s">
        <v>954</v>
      </c>
      <c r="G274" s="97">
        <f>SUM(H274:AE274)/48</f>
        <v>2.9426432272868855E-2</v>
      </c>
      <c r="H274" s="97">
        <f t="shared" ref="H274:AE274" si="80">H273*$P$20</f>
        <v>5.4975341718420685E-3</v>
      </c>
      <c r="I274" s="97">
        <f t="shared" si="80"/>
        <v>1.7571150946582619E-2</v>
      </c>
      <c r="J274" s="97">
        <f t="shared" si="80"/>
        <v>2.9367079754865417E-2</v>
      </c>
      <c r="K274" s="97">
        <f t="shared" si="80"/>
        <v>4.0641582635802503E-2</v>
      </c>
      <c r="L274" s="97">
        <f t="shared" si="80"/>
        <v>5.1246966987883315E-2</v>
      </c>
      <c r="M274" s="97">
        <f t="shared" si="80"/>
        <v>6.0950936421952477E-2</v>
      </c>
      <c r="N274" s="97">
        <f t="shared" si="80"/>
        <v>6.9575689608683947E-2</v>
      </c>
      <c r="O274" s="97">
        <f t="shared" si="80"/>
        <v>7.7013242276671168E-2</v>
      </c>
      <c r="P274" s="97">
        <f t="shared" si="80"/>
        <v>8.3127178346308089E-2</v>
      </c>
      <c r="Q274" s="97">
        <f t="shared" si="80"/>
        <v>8.7779454511898752E-2</v>
      </c>
      <c r="R274" s="97">
        <f t="shared" si="80"/>
        <v>9.0939850784765866E-2</v>
      </c>
      <c r="S274" s="97">
        <f t="shared" si="80"/>
        <v>9.2523708101596353E-2</v>
      </c>
      <c r="T274" s="97">
        <f t="shared" si="80"/>
        <v>9.2523708101596353E-2</v>
      </c>
      <c r="U274" s="97">
        <f t="shared" si="80"/>
        <v>9.0939850784765866E-2</v>
      </c>
      <c r="V274" s="97">
        <f t="shared" si="80"/>
        <v>8.7779454511898752E-2</v>
      </c>
      <c r="W274" s="97">
        <f t="shared" si="80"/>
        <v>8.3127178346308089E-2</v>
      </c>
      <c r="X274" s="97">
        <f t="shared" si="80"/>
        <v>7.7013242276671168E-2</v>
      </c>
      <c r="Y274" s="97">
        <f t="shared" si="80"/>
        <v>6.9575689608683947E-2</v>
      </c>
      <c r="Z274" s="97">
        <f t="shared" si="80"/>
        <v>6.0950936421952477E-2</v>
      </c>
      <c r="AA274" s="97">
        <f t="shared" si="80"/>
        <v>5.1246966987883315E-2</v>
      </c>
      <c r="AB274" s="97">
        <f t="shared" si="80"/>
        <v>4.0641582635802503E-2</v>
      </c>
      <c r="AC274" s="97">
        <f t="shared" si="80"/>
        <v>2.9367079754865417E-2</v>
      </c>
      <c r="AD274" s="97">
        <f t="shared" si="80"/>
        <v>1.7571150946582619E-2</v>
      </c>
      <c r="AE274" s="97">
        <f t="shared" si="80"/>
        <v>5.4975341718420685E-3</v>
      </c>
      <c r="AF274" s="28"/>
      <c r="AG274" s="11"/>
    </row>
    <row r="275" spans="1:33">
      <c r="A275" s="20" t="s">
        <v>835</v>
      </c>
      <c r="B275" s="5"/>
      <c r="C275" s="11"/>
      <c r="G275" s="19">
        <f>SUM(H275:AE275)/48</f>
        <v>2.9107367131611689E-2</v>
      </c>
      <c r="H275" s="24">
        <f>H274*(1-($F$16+$F$13)*$H$263)</f>
        <v>5.4379254669593442E-3</v>
      </c>
      <c r="I275" s="24">
        <f t="shared" ref="I275:AE275" si="81">I274*(1-($F$16+$F$13)*$H$263)</f>
        <v>1.7380630338891027E-2</v>
      </c>
      <c r="J275" s="24">
        <f t="shared" si="81"/>
        <v>2.9048658161537032E-2</v>
      </c>
      <c r="K275" s="24">
        <f t="shared" si="81"/>
        <v>4.0200913777805637E-2</v>
      </c>
      <c r="L275" s="24">
        <f t="shared" si="81"/>
        <v>5.0691305988637199E-2</v>
      </c>
      <c r="M275" s="24">
        <f t="shared" si="81"/>
        <v>6.0290057149912507E-2</v>
      </c>
      <c r="N275" s="24">
        <f t="shared" si="81"/>
        <v>6.8821293797896949E-2</v>
      </c>
      <c r="O275" s="24">
        <f t="shared" si="81"/>
        <v>7.6178202513854446E-2</v>
      </c>
      <c r="P275" s="24">
        <f t="shared" si="81"/>
        <v>8.2225846351473328E-2</v>
      </c>
      <c r="Q275" s="24">
        <f t="shared" si="81"/>
        <v>8.6827678782051304E-2</v>
      </c>
      <c r="R275" s="24">
        <f t="shared" si="81"/>
        <v>8.9953807486431683E-2</v>
      </c>
      <c r="S275" s="24">
        <f t="shared" si="81"/>
        <v>9.1520491343230051E-2</v>
      </c>
      <c r="T275" s="24">
        <f t="shared" si="81"/>
        <v>9.1520491343230051E-2</v>
      </c>
      <c r="U275" s="24">
        <f t="shared" si="81"/>
        <v>8.9953807486431683E-2</v>
      </c>
      <c r="V275" s="24">
        <f t="shared" si="81"/>
        <v>8.6827678782051304E-2</v>
      </c>
      <c r="W275" s="24">
        <f t="shared" si="81"/>
        <v>8.2225846351473328E-2</v>
      </c>
      <c r="X275" s="24">
        <f t="shared" si="81"/>
        <v>7.6178202513854446E-2</v>
      </c>
      <c r="Y275" s="24">
        <f t="shared" si="81"/>
        <v>6.8821293797896949E-2</v>
      </c>
      <c r="Z275" s="24">
        <f t="shared" si="81"/>
        <v>6.0290057149912507E-2</v>
      </c>
      <c r="AA275" s="24">
        <f t="shared" si="81"/>
        <v>5.0691305988637199E-2</v>
      </c>
      <c r="AB275" s="24">
        <f t="shared" si="81"/>
        <v>4.0200913777805637E-2</v>
      </c>
      <c r="AC275" s="24">
        <f t="shared" si="81"/>
        <v>2.9048658161537032E-2</v>
      </c>
      <c r="AD275" s="24">
        <f t="shared" si="81"/>
        <v>1.7380630338891027E-2</v>
      </c>
      <c r="AE275" s="24">
        <f t="shared" si="81"/>
        <v>5.4379254669593442E-3</v>
      </c>
      <c r="AF275" s="28"/>
      <c r="AG275" s="11"/>
    </row>
    <row r="276" spans="1:33">
      <c r="A276" s="20"/>
      <c r="B276" s="24" t="s">
        <v>956</v>
      </c>
      <c r="C276" s="11"/>
      <c r="D276" t="s">
        <v>955</v>
      </c>
      <c r="G276" s="27"/>
      <c r="H276" s="24" t="s">
        <v>900</v>
      </c>
      <c r="K276" t="s">
        <v>853</v>
      </c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8"/>
      <c r="AG276" s="11"/>
    </row>
    <row r="277" spans="1:33">
      <c r="A277" s="100" t="s">
        <v>836</v>
      </c>
      <c r="B277" s="5"/>
      <c r="C277" s="11"/>
      <c r="G277" s="19">
        <f>SUM(H277:AE277)/48</f>
        <v>3.0941723464985599E-5</v>
      </c>
      <c r="H277" s="2">
        <f>H275^2/H271</f>
        <v>5.7806254087173471E-6</v>
      </c>
      <c r="I277" s="2">
        <f t="shared" ref="I277:AE277" si="82">I275^2/I271</f>
        <v>1.8475963667941942E-5</v>
      </c>
      <c r="J277" s="2">
        <f t="shared" si="82"/>
        <v>3.0879314635332593E-5</v>
      </c>
      <c r="K277" s="2">
        <f t="shared" si="82"/>
        <v>4.2734389253698089E-5</v>
      </c>
      <c r="L277" s="2">
        <f t="shared" si="82"/>
        <v>5.3885889606138791E-5</v>
      </c>
      <c r="M277" s="2">
        <f t="shared" si="82"/>
        <v>6.4089557382013824E-5</v>
      </c>
      <c r="N277" s="2">
        <f t="shared" si="82"/>
        <v>7.3158435511138823E-5</v>
      </c>
      <c r="O277" s="2">
        <f t="shared" si="82"/>
        <v>8.0978979156224413E-5</v>
      </c>
      <c r="P277" s="2">
        <f t="shared" si="82"/>
        <v>8.7407747597980983E-5</v>
      </c>
      <c r="Q277" s="2">
        <f t="shared" si="82"/>
        <v>9.229958909828993E-5</v>
      </c>
      <c r="R277" s="2">
        <f t="shared" si="82"/>
        <v>9.5622727513713335E-5</v>
      </c>
      <c r="S277" s="2">
        <f t="shared" si="82"/>
        <v>9.7288144328464186E-5</v>
      </c>
      <c r="T277" s="2">
        <f t="shared" si="82"/>
        <v>9.7288144328464186E-5</v>
      </c>
      <c r="U277" s="2">
        <f t="shared" si="82"/>
        <v>9.5622727513713335E-5</v>
      </c>
      <c r="V277" s="2">
        <f t="shared" si="82"/>
        <v>9.229958909828993E-5</v>
      </c>
      <c r="W277" s="2">
        <f t="shared" si="82"/>
        <v>8.7407747597980983E-5</v>
      </c>
      <c r="X277" s="2">
        <f t="shared" si="82"/>
        <v>8.0978979156224413E-5</v>
      </c>
      <c r="Y277" s="2">
        <f t="shared" si="82"/>
        <v>7.3158435511138823E-5</v>
      </c>
      <c r="Z277" s="2">
        <f t="shared" si="82"/>
        <v>6.4089557382013824E-5</v>
      </c>
      <c r="AA277" s="2">
        <f t="shared" si="82"/>
        <v>5.3885889606138791E-5</v>
      </c>
      <c r="AB277" s="2">
        <f t="shared" si="82"/>
        <v>4.2734389253698089E-5</v>
      </c>
      <c r="AC277" s="2">
        <f t="shared" si="82"/>
        <v>3.0879314635332593E-5</v>
      </c>
      <c r="AD277" s="2">
        <f t="shared" si="82"/>
        <v>1.8475963667941942E-5</v>
      </c>
      <c r="AE277" s="2">
        <f t="shared" si="82"/>
        <v>5.7806254087173471E-6</v>
      </c>
      <c r="AF277" s="28"/>
      <c r="AG277" s="11"/>
    </row>
    <row r="278" spans="1:33">
      <c r="A278" s="100"/>
      <c r="B278" s="24" t="s">
        <v>957</v>
      </c>
      <c r="C278" s="11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8"/>
      <c r="AG278" s="11"/>
    </row>
    <row r="279" spans="1:33">
      <c r="A279" s="20" t="s">
        <v>837</v>
      </c>
      <c r="B279" s="11"/>
      <c r="C279" s="11"/>
      <c r="D279" s="11"/>
      <c r="E279" s="27"/>
      <c r="F279" s="6"/>
      <c r="G279" s="19">
        <f>SUM(H279:AE279)/24</f>
        <v>357.99453006384289</v>
      </c>
      <c r="H279" s="24">
        <f>$P$24*(1-$H$263*(1-$F$14))</f>
        <v>357.994530063843</v>
      </c>
      <c r="I279" s="24">
        <f t="shared" ref="I279:AE279" si="83">$P$24*(1-$H$263*(1-$F$14))</f>
        <v>357.994530063843</v>
      </c>
      <c r="J279" s="24">
        <f t="shared" si="83"/>
        <v>357.994530063843</v>
      </c>
      <c r="K279" s="24">
        <f t="shared" si="83"/>
        <v>357.994530063843</v>
      </c>
      <c r="L279" s="24">
        <f t="shared" si="83"/>
        <v>357.994530063843</v>
      </c>
      <c r="M279" s="24">
        <f t="shared" si="83"/>
        <v>357.994530063843</v>
      </c>
      <c r="N279" s="24">
        <f t="shared" si="83"/>
        <v>357.994530063843</v>
      </c>
      <c r="O279" s="24">
        <f t="shared" si="83"/>
        <v>357.994530063843</v>
      </c>
      <c r="P279" s="24">
        <f t="shared" si="83"/>
        <v>357.994530063843</v>
      </c>
      <c r="Q279" s="24">
        <f t="shared" si="83"/>
        <v>357.994530063843</v>
      </c>
      <c r="R279" s="24">
        <f t="shared" si="83"/>
        <v>357.994530063843</v>
      </c>
      <c r="S279" s="24">
        <f t="shared" si="83"/>
        <v>357.994530063843</v>
      </c>
      <c r="T279" s="24">
        <f t="shared" si="83"/>
        <v>357.994530063843</v>
      </c>
      <c r="U279" s="24">
        <f t="shared" si="83"/>
        <v>357.994530063843</v>
      </c>
      <c r="V279" s="24">
        <f t="shared" si="83"/>
        <v>357.994530063843</v>
      </c>
      <c r="W279" s="24">
        <f t="shared" si="83"/>
        <v>357.994530063843</v>
      </c>
      <c r="X279" s="24">
        <f t="shared" si="83"/>
        <v>357.994530063843</v>
      </c>
      <c r="Y279" s="24">
        <f t="shared" si="83"/>
        <v>357.994530063843</v>
      </c>
      <c r="Z279" s="24">
        <f t="shared" si="83"/>
        <v>357.994530063843</v>
      </c>
      <c r="AA279" s="24">
        <f t="shared" si="83"/>
        <v>357.994530063843</v>
      </c>
      <c r="AB279" s="24">
        <f t="shared" si="83"/>
        <v>357.994530063843</v>
      </c>
      <c r="AC279" s="24">
        <f t="shared" si="83"/>
        <v>357.994530063843</v>
      </c>
      <c r="AD279" s="24">
        <f t="shared" si="83"/>
        <v>357.994530063843</v>
      </c>
      <c r="AE279" s="24">
        <f t="shared" si="83"/>
        <v>357.994530063843</v>
      </c>
      <c r="AF279" s="28"/>
      <c r="AG279" s="11"/>
    </row>
    <row r="280" spans="1:33">
      <c r="A280" s="20"/>
      <c r="B280" s="5" t="s">
        <v>958</v>
      </c>
      <c r="C280" s="11"/>
      <c r="D280" t="s">
        <v>976</v>
      </c>
      <c r="E280" s="2"/>
      <c r="G280" t="s">
        <v>959</v>
      </c>
      <c r="I280" s="11"/>
      <c r="J280" s="28"/>
      <c r="K280" s="2" t="s">
        <v>844</v>
      </c>
      <c r="L280" s="12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11"/>
    </row>
    <row r="281" spans="1:33">
      <c r="A281" s="12" t="s">
        <v>573</v>
      </c>
      <c r="B281" t="s">
        <v>839</v>
      </c>
      <c r="E281" s="12"/>
      <c r="F281" s="6"/>
      <c r="G281" s="32"/>
      <c r="H281" s="3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3">
      <c r="A282" s="11"/>
      <c r="B282" s="14" t="s">
        <v>870</v>
      </c>
      <c r="E282" s="12"/>
      <c r="F282" s="6"/>
      <c r="G282" s="32"/>
      <c r="H282" s="3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3">
      <c r="A283" s="11"/>
      <c r="B283" s="14" t="s">
        <v>845</v>
      </c>
      <c r="E283" s="12"/>
      <c r="F283" s="6"/>
      <c r="G283" s="32"/>
      <c r="H283" s="3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3">
      <c r="A284" s="11"/>
      <c r="B284" s="14" t="s">
        <v>842</v>
      </c>
      <c r="E284" s="12"/>
      <c r="F284" s="6"/>
      <c r="G284" s="32"/>
      <c r="H284" s="3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3">
      <c r="A285" s="20" t="s">
        <v>914</v>
      </c>
      <c r="B285" s="11"/>
      <c r="C285" s="11"/>
      <c r="D285" s="11"/>
      <c r="E285" s="27"/>
      <c r="F285" s="6"/>
      <c r="G285" s="19">
        <f>SUM(H285:AE285)/24</f>
        <v>2.5618512323568008</v>
      </c>
      <c r="H285" s="24">
        <f t="shared" ref="H285:AE285" si="84">$M$9*($F$9+273)^4*$F$10*$F$18</f>
        <v>2.5618512323567995</v>
      </c>
      <c r="I285" s="24">
        <f t="shared" si="84"/>
        <v>2.5618512323567995</v>
      </c>
      <c r="J285" s="24">
        <f t="shared" si="84"/>
        <v>2.5618512323567995</v>
      </c>
      <c r="K285" s="24">
        <f t="shared" si="84"/>
        <v>2.5618512323567995</v>
      </c>
      <c r="L285" s="24">
        <f t="shared" si="84"/>
        <v>2.5618512323567995</v>
      </c>
      <c r="M285" s="24">
        <f t="shared" si="84"/>
        <v>2.5618512323567995</v>
      </c>
      <c r="N285" s="24">
        <f t="shared" si="84"/>
        <v>2.5618512323567995</v>
      </c>
      <c r="O285" s="24">
        <f t="shared" si="84"/>
        <v>2.5618512323567995</v>
      </c>
      <c r="P285" s="24">
        <f t="shared" si="84"/>
        <v>2.5618512323567995</v>
      </c>
      <c r="Q285" s="24">
        <f t="shared" si="84"/>
        <v>2.5618512323567995</v>
      </c>
      <c r="R285" s="24">
        <f t="shared" si="84"/>
        <v>2.5618512323567995</v>
      </c>
      <c r="S285" s="24">
        <f t="shared" si="84"/>
        <v>2.5618512323567995</v>
      </c>
      <c r="T285" s="24">
        <f t="shared" si="84"/>
        <v>2.5618512323567995</v>
      </c>
      <c r="U285" s="24">
        <f t="shared" si="84"/>
        <v>2.5618512323567995</v>
      </c>
      <c r="V285" s="24">
        <f t="shared" si="84"/>
        <v>2.5618512323567995</v>
      </c>
      <c r="W285" s="24">
        <f t="shared" si="84"/>
        <v>2.5618512323567995</v>
      </c>
      <c r="X285" s="24">
        <f t="shared" si="84"/>
        <v>2.5618512323567995</v>
      </c>
      <c r="Y285" s="24">
        <f t="shared" si="84"/>
        <v>2.5618512323567995</v>
      </c>
      <c r="Z285" s="24">
        <f t="shared" si="84"/>
        <v>2.5618512323567995</v>
      </c>
      <c r="AA285" s="24">
        <f t="shared" si="84"/>
        <v>2.5618512323567995</v>
      </c>
      <c r="AB285" s="24">
        <f t="shared" si="84"/>
        <v>2.5618512323567995</v>
      </c>
      <c r="AC285" s="24">
        <f t="shared" si="84"/>
        <v>2.5618512323567995</v>
      </c>
      <c r="AD285" s="24">
        <f t="shared" si="84"/>
        <v>2.5618512323567995</v>
      </c>
      <c r="AE285" s="24">
        <f t="shared" si="84"/>
        <v>2.5618512323567995</v>
      </c>
      <c r="AF285" s="28"/>
      <c r="AG285" s="11"/>
    </row>
    <row r="286" spans="1:33">
      <c r="A286" s="20"/>
      <c r="B286" s="5" t="s">
        <v>923</v>
      </c>
      <c r="C286" s="11"/>
      <c r="D286" t="s">
        <v>743</v>
      </c>
      <c r="E286" s="27"/>
      <c r="F286" s="6"/>
      <c r="G286" s="28"/>
      <c r="H286" t="s">
        <v>717</v>
      </c>
      <c r="I286" s="29"/>
      <c r="J286" s="11"/>
      <c r="K286" s="2" t="s">
        <v>719</v>
      </c>
      <c r="L286" s="11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11"/>
    </row>
    <row r="287" spans="1:33">
      <c r="A287" s="20"/>
      <c r="B287" s="27" t="s">
        <v>925</v>
      </c>
      <c r="C287" s="11" t="s">
        <v>924</v>
      </c>
      <c r="E287" s="27"/>
      <c r="F287" s="6"/>
      <c r="G287" s="28"/>
      <c r="I287" s="29"/>
      <c r="J287" s="11"/>
      <c r="K287" s="2"/>
      <c r="L287" s="11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11"/>
    </row>
    <row r="288" spans="1:33">
      <c r="A288" s="20"/>
      <c r="B288" s="14"/>
      <c r="C288" t="s">
        <v>926</v>
      </c>
      <c r="E288" s="27"/>
      <c r="F288" s="6"/>
      <c r="G288" s="28"/>
      <c r="I288" s="29"/>
      <c r="J288" s="11"/>
      <c r="K288" s="2"/>
      <c r="L288" s="11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11"/>
    </row>
    <row r="289" spans="1:33">
      <c r="A289" s="20"/>
      <c r="B289" s="16" t="s">
        <v>740</v>
      </c>
      <c r="C289" s="11"/>
      <c r="D289" s="11"/>
      <c r="E289" s="27"/>
      <c r="F289" s="6"/>
      <c r="G289" s="32">
        <f>G264+G271+G275+G277+G285+G279</f>
        <v>391.35345040115322</v>
      </c>
      <c r="H289" s="33"/>
      <c r="I289" s="29"/>
      <c r="J289" s="28"/>
      <c r="K289" s="11"/>
      <c r="L289" s="11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11"/>
    </row>
    <row r="290" spans="1:33">
      <c r="A290" s="20"/>
      <c r="B290" s="16" t="s">
        <v>721</v>
      </c>
      <c r="G290" s="32">
        <f>G259-G289</f>
        <v>2.2859794131488798</v>
      </c>
      <c r="H290" s="33"/>
      <c r="I290" s="8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3">
      <c r="A291" s="39" t="s">
        <v>507</v>
      </c>
      <c r="B291" s="16"/>
      <c r="G291" s="32"/>
      <c r="H291" s="3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3">
      <c r="A292" s="3" t="s">
        <v>771</v>
      </c>
      <c r="G292" t="s">
        <v>535</v>
      </c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3">
      <c r="A293" s="20" t="s">
        <v>873</v>
      </c>
      <c r="B293" s="11"/>
      <c r="C293" s="11"/>
      <c r="D293" s="11"/>
      <c r="E293" s="14" t="s">
        <v>563</v>
      </c>
      <c r="F293" s="31">
        <f>$F$15</f>
        <v>0.7</v>
      </c>
      <c r="G293" s="19">
        <f>SUM(H293:AE293)/48</f>
        <v>133.95512485675346</v>
      </c>
      <c r="H293" s="2">
        <f>H$64*H$27*$F$15</f>
        <v>0</v>
      </c>
      <c r="I293" s="2">
        <f t="shared" ref="I293:AE293" si="85">I$64*I$27*$F$15</f>
        <v>0</v>
      </c>
      <c r="J293" s="2">
        <f t="shared" si="85"/>
        <v>0</v>
      </c>
      <c r="K293" s="2">
        <f t="shared" si="85"/>
        <v>0</v>
      </c>
      <c r="L293" s="2">
        <f t="shared" si="85"/>
        <v>0</v>
      </c>
      <c r="M293" s="2">
        <f t="shared" si="85"/>
        <v>0</v>
      </c>
      <c r="N293" s="2">
        <f t="shared" si="85"/>
        <v>0</v>
      </c>
      <c r="O293" s="2">
        <f t="shared" si="85"/>
        <v>0</v>
      </c>
      <c r="P293" s="2">
        <f t="shared" si="85"/>
        <v>552.27023234662875</v>
      </c>
      <c r="Q293" s="2">
        <f t="shared" si="85"/>
        <v>582.92122669687183</v>
      </c>
      <c r="R293" s="2">
        <f t="shared" si="85"/>
        <v>603.7528592428398</v>
      </c>
      <c r="S293" s="2">
        <f t="shared" si="85"/>
        <v>614.18744232808569</v>
      </c>
      <c r="T293" s="2">
        <f t="shared" si="85"/>
        <v>614.18744232808569</v>
      </c>
      <c r="U293" s="2">
        <f t="shared" si="85"/>
        <v>603.7528592428398</v>
      </c>
      <c r="V293" s="2">
        <f t="shared" si="85"/>
        <v>582.92122669687183</v>
      </c>
      <c r="W293" s="2">
        <f t="shared" si="85"/>
        <v>552.27023234662875</v>
      </c>
      <c r="X293" s="2">
        <f t="shared" si="85"/>
        <v>512.02740658883533</v>
      </c>
      <c r="Y293" s="2">
        <f t="shared" si="85"/>
        <v>463.0376470623201</v>
      </c>
      <c r="Z293" s="2">
        <f t="shared" si="85"/>
        <v>406.21888198654005</v>
      </c>
      <c r="AA293" s="2">
        <f t="shared" si="85"/>
        <v>342.29853625761945</v>
      </c>
      <c r="AB293" s="2">
        <f t="shared" si="85"/>
        <v>0</v>
      </c>
      <c r="AC293" s="2">
        <f t="shared" si="85"/>
        <v>0</v>
      </c>
      <c r="AD293" s="2">
        <f t="shared" si="85"/>
        <v>0</v>
      </c>
      <c r="AE293" s="2">
        <f t="shared" si="85"/>
        <v>0</v>
      </c>
      <c r="AF293" s="2"/>
    </row>
    <row r="294" spans="1:33">
      <c r="A294" s="5"/>
      <c r="B294" s="5" t="s">
        <v>942</v>
      </c>
      <c r="C294" s="11"/>
      <c r="D294" t="s">
        <v>974</v>
      </c>
      <c r="E294" s="12"/>
      <c r="F294" s="18"/>
      <c r="G294" s="19"/>
      <c r="H294" s="2" t="s">
        <v>860</v>
      </c>
      <c r="I294" s="2"/>
      <c r="J294" s="2" t="s">
        <v>861</v>
      </c>
      <c r="K294" s="26"/>
      <c r="L294" s="2"/>
      <c r="M294" s="2"/>
      <c r="N294" s="2"/>
      <c r="O294" s="26"/>
      <c r="P294" s="2"/>
      <c r="Q294" s="2"/>
      <c r="R294" s="26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3">
      <c r="A295" s="20" t="s">
        <v>874</v>
      </c>
      <c r="G295" s="19">
        <f>SUM(H295:AE295)/48</f>
        <v>8.9386930252149117</v>
      </c>
      <c r="H295" s="2">
        <f>H$64*$P$20*H$28^2</f>
        <v>5.7959142451783476</v>
      </c>
      <c r="I295" s="2">
        <f t="shared" ref="I295:AE295" si="86">I$64*$P$20*I$28^2</f>
        <v>17.204062231293001</v>
      </c>
      <c r="J295" s="2">
        <f t="shared" si="86"/>
        <v>28.328172087777229</v>
      </c>
      <c r="K295" s="2">
        <f t="shared" si="86"/>
        <v>38.939263549614608</v>
      </c>
      <c r="L295" s="2">
        <f t="shared" si="86"/>
        <v>48.899790893945635</v>
      </c>
      <c r="M295" s="2">
        <f t="shared" si="86"/>
        <v>58.03126885522002</v>
      </c>
      <c r="N295" s="2">
        <f t="shared" si="86"/>
        <v>66.148235294617166</v>
      </c>
      <c r="O295" s="2">
        <f t="shared" si="86"/>
        <v>73.146772369833613</v>
      </c>
      <c r="P295" s="2">
        <f t="shared" si="86"/>
        <v>0.19723936869522496</v>
      </c>
      <c r="Q295" s="2">
        <f t="shared" si="86"/>
        <v>0.20818615239174029</v>
      </c>
      <c r="R295" s="2">
        <f t="shared" si="86"/>
        <v>0.21562602115815746</v>
      </c>
      <c r="S295" s="2">
        <f t="shared" si="86"/>
        <v>0.21935265797431672</v>
      </c>
      <c r="T295" s="2">
        <f t="shared" si="86"/>
        <v>0.21935265797431672</v>
      </c>
      <c r="U295" s="2">
        <f t="shared" si="86"/>
        <v>0.21562602115815746</v>
      </c>
      <c r="V295" s="2">
        <f t="shared" si="86"/>
        <v>0.20818615239174029</v>
      </c>
      <c r="W295" s="2">
        <f t="shared" si="86"/>
        <v>0.19723936869522496</v>
      </c>
      <c r="X295" s="2">
        <f t="shared" si="86"/>
        <v>0.18286693092458436</v>
      </c>
      <c r="Y295" s="2">
        <f t="shared" si="86"/>
        <v>0.16537058823654321</v>
      </c>
      <c r="Z295" s="2">
        <f t="shared" si="86"/>
        <v>0.1450781721380503</v>
      </c>
      <c r="AA295" s="2">
        <f t="shared" si="86"/>
        <v>0.1222494772348643</v>
      </c>
      <c r="AB295" s="2">
        <f t="shared" si="86"/>
        <v>38.939263549614608</v>
      </c>
      <c r="AC295" s="2">
        <f t="shared" si="86"/>
        <v>28.328172087777229</v>
      </c>
      <c r="AD295" s="2">
        <f t="shared" si="86"/>
        <v>17.204062231293001</v>
      </c>
      <c r="AE295" s="2">
        <f t="shared" si="86"/>
        <v>5.7959142451783476</v>
      </c>
      <c r="AF295" s="2"/>
    </row>
    <row r="296" spans="1:33">
      <c r="A296" s="16"/>
      <c r="B296" s="5" t="s">
        <v>946</v>
      </c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3">
      <c r="A297" s="20" t="s">
        <v>875</v>
      </c>
      <c r="E297" s="12"/>
      <c r="F297" s="6"/>
      <c r="G297" s="19">
        <f>(SUM(H297:AE297)+24*$P$24)/48</f>
        <v>274.20909862274999</v>
      </c>
      <c r="H297" s="2">
        <f>$P$24*(1-H$27)</f>
        <v>365.61213149700001</v>
      </c>
      <c r="I297" s="2">
        <f t="shared" ref="I297:AE297" si="87">$P$24*(1-I$27)</f>
        <v>365.61213149700001</v>
      </c>
      <c r="J297" s="2">
        <f t="shared" si="87"/>
        <v>365.61213149700001</v>
      </c>
      <c r="K297" s="2">
        <f t="shared" si="87"/>
        <v>365.61213149700001</v>
      </c>
      <c r="L297" s="2">
        <f t="shared" si="87"/>
        <v>365.61213149700001</v>
      </c>
      <c r="M297" s="2">
        <f t="shared" si="87"/>
        <v>365.61213149700001</v>
      </c>
      <c r="N297" s="2">
        <f t="shared" si="87"/>
        <v>365.61213149700001</v>
      </c>
      <c r="O297" s="2">
        <f t="shared" si="87"/>
        <v>365.61213149700001</v>
      </c>
      <c r="P297" s="2">
        <f t="shared" si="87"/>
        <v>0</v>
      </c>
      <c r="Q297" s="2">
        <f t="shared" si="87"/>
        <v>0</v>
      </c>
      <c r="R297" s="2">
        <f t="shared" si="87"/>
        <v>0</v>
      </c>
      <c r="S297" s="2">
        <f t="shared" si="87"/>
        <v>0</v>
      </c>
      <c r="T297" s="2">
        <f t="shared" si="87"/>
        <v>0</v>
      </c>
      <c r="U297" s="2">
        <f t="shared" si="87"/>
        <v>0</v>
      </c>
      <c r="V297" s="2">
        <f t="shared" si="87"/>
        <v>0</v>
      </c>
      <c r="W297" s="2">
        <f t="shared" si="87"/>
        <v>0</v>
      </c>
      <c r="X297" s="2">
        <f t="shared" si="87"/>
        <v>0</v>
      </c>
      <c r="Y297" s="2">
        <f t="shared" si="87"/>
        <v>0</v>
      </c>
      <c r="Z297" s="2">
        <f t="shared" si="87"/>
        <v>0</v>
      </c>
      <c r="AA297" s="2">
        <f t="shared" si="87"/>
        <v>0</v>
      </c>
      <c r="AB297" s="2">
        <f t="shared" si="87"/>
        <v>365.61213149700001</v>
      </c>
      <c r="AC297" s="2">
        <f t="shared" si="87"/>
        <v>365.61213149700001</v>
      </c>
      <c r="AD297" s="2">
        <f t="shared" si="87"/>
        <v>365.61213149700001</v>
      </c>
      <c r="AE297" s="2">
        <f t="shared" si="87"/>
        <v>365.61213149700001</v>
      </c>
      <c r="AF297" s="2"/>
    </row>
    <row r="298" spans="1:33">
      <c r="A298" s="20"/>
      <c r="C298" s="5" t="s">
        <v>947</v>
      </c>
      <c r="D298" t="s">
        <v>907</v>
      </c>
      <c r="E298" s="12"/>
      <c r="F298" s="6"/>
      <c r="G298" s="19"/>
      <c r="H298" s="2" t="s">
        <v>860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3">
      <c r="A299" s="20" t="s">
        <v>876</v>
      </c>
      <c r="E299" s="12">
        <f>$F$7</f>
        <v>-5</v>
      </c>
      <c r="F299" s="6" t="s">
        <v>558</v>
      </c>
      <c r="G299" s="19">
        <f>SUM(H299:AE299)/48</f>
        <v>73.51128940800001</v>
      </c>
      <c r="H299" s="2">
        <f t="shared" ref="H299:AE299" si="88">$M$9*($F$7+273)^4*H$27</f>
        <v>0</v>
      </c>
      <c r="I299" s="2">
        <f t="shared" si="88"/>
        <v>0</v>
      </c>
      <c r="J299" s="2">
        <f t="shared" si="88"/>
        <v>0</v>
      </c>
      <c r="K299" s="2">
        <f t="shared" si="88"/>
        <v>0</v>
      </c>
      <c r="L299" s="2">
        <f t="shared" si="88"/>
        <v>0</v>
      </c>
      <c r="M299" s="2">
        <f t="shared" si="88"/>
        <v>0</v>
      </c>
      <c r="N299" s="2">
        <f t="shared" si="88"/>
        <v>0</v>
      </c>
      <c r="O299" s="2">
        <f t="shared" si="88"/>
        <v>0</v>
      </c>
      <c r="P299" s="2">
        <f t="shared" si="88"/>
        <v>294.04515763199998</v>
      </c>
      <c r="Q299" s="2">
        <f t="shared" si="88"/>
        <v>294.04515763199998</v>
      </c>
      <c r="R299" s="2">
        <f t="shared" si="88"/>
        <v>294.04515763199998</v>
      </c>
      <c r="S299" s="2">
        <f t="shared" si="88"/>
        <v>294.04515763199998</v>
      </c>
      <c r="T299" s="2">
        <f t="shared" si="88"/>
        <v>294.04515763199998</v>
      </c>
      <c r="U299" s="2">
        <f t="shared" si="88"/>
        <v>294.04515763199998</v>
      </c>
      <c r="V299" s="2">
        <f t="shared" si="88"/>
        <v>294.04515763199998</v>
      </c>
      <c r="W299" s="2">
        <f t="shared" si="88"/>
        <v>294.04515763199998</v>
      </c>
      <c r="X299" s="2">
        <f t="shared" si="88"/>
        <v>294.04515763199998</v>
      </c>
      <c r="Y299" s="2">
        <f t="shared" si="88"/>
        <v>294.04515763199998</v>
      </c>
      <c r="Z299" s="2">
        <f t="shared" si="88"/>
        <v>294.04515763199998</v>
      </c>
      <c r="AA299" s="2">
        <f t="shared" si="88"/>
        <v>294.04515763199998</v>
      </c>
      <c r="AB299" s="2">
        <f t="shared" si="88"/>
        <v>0</v>
      </c>
      <c r="AC299" s="2">
        <f t="shared" si="88"/>
        <v>0</v>
      </c>
      <c r="AD299" s="2">
        <f t="shared" si="88"/>
        <v>0</v>
      </c>
      <c r="AE299" s="2">
        <f t="shared" si="88"/>
        <v>0</v>
      </c>
      <c r="AF299" s="2"/>
    </row>
    <row r="300" spans="1:33">
      <c r="A300" s="20"/>
      <c r="B300" t="s">
        <v>865</v>
      </c>
      <c r="D300" t="s">
        <v>743</v>
      </c>
      <c r="E300" s="30"/>
      <c r="F300" s="6"/>
      <c r="G300" s="19"/>
      <c r="H300" t="s">
        <v>617</v>
      </c>
      <c r="I300" s="2"/>
      <c r="K300" s="2" t="s">
        <v>860</v>
      </c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3">
      <c r="A301" s="20"/>
      <c r="B301" s="16" t="s">
        <v>724</v>
      </c>
      <c r="E301" s="30"/>
      <c r="F301" s="6"/>
      <c r="G301" s="32">
        <f>G293+G295+G297+G299</f>
        <v>490.61420591271838</v>
      </c>
      <c r="H301" s="3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3">
      <c r="A302" s="39" t="s">
        <v>507</v>
      </c>
      <c r="B302" s="16"/>
      <c r="E302" s="30"/>
      <c r="F302" s="6"/>
      <c r="G302" s="32"/>
      <c r="H302" s="3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3">
      <c r="A303" s="3" t="s">
        <v>733</v>
      </c>
      <c r="E303" s="12"/>
      <c r="F303" s="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3">
      <c r="A304" s="3" t="s">
        <v>877</v>
      </c>
      <c r="G304" s="19">
        <f>SUM(H304:AE304)/48</f>
        <v>3.386171590177542</v>
      </c>
      <c r="H304" s="24">
        <f>H$64*H$262*$F$16</f>
        <v>6.1205604739030086</v>
      </c>
      <c r="I304" s="24">
        <f t="shared" ref="I304:AE304" si="89">I$64*I$262*$F$16</f>
        <v>6.6137596652716342</v>
      </c>
      <c r="J304" s="24">
        <f t="shared" si="89"/>
        <v>6.8833051195011965</v>
      </c>
      <c r="K304" s="24">
        <f t="shared" si="89"/>
        <v>6.9322152472352876</v>
      </c>
      <c r="L304" s="24">
        <f t="shared" si="89"/>
        <v>6.7741276572798563</v>
      </c>
      <c r="M304" s="24">
        <f t="shared" si="89"/>
        <v>6.8015875498310194</v>
      </c>
      <c r="N304" s="24">
        <f t="shared" si="89"/>
        <v>6.8361476222137583</v>
      </c>
      <c r="O304" s="24">
        <f t="shared" si="89"/>
        <v>6.8549124276768367</v>
      </c>
      <c r="P304" s="24">
        <f t="shared" si="89"/>
        <v>6.8303932821228983</v>
      </c>
      <c r="Q304" s="24">
        <f t="shared" si="89"/>
        <v>6.8523926517434512</v>
      </c>
      <c r="R304" s="24">
        <f t="shared" si="89"/>
        <v>6.8809505115162981</v>
      </c>
      <c r="S304" s="24">
        <f t="shared" si="89"/>
        <v>6.8877659559657776</v>
      </c>
      <c r="T304" s="24">
        <f t="shared" si="89"/>
        <v>6.8877659559657776</v>
      </c>
      <c r="U304" s="24">
        <f t="shared" si="89"/>
        <v>6.8809505115162981</v>
      </c>
      <c r="V304" s="24">
        <f t="shared" si="89"/>
        <v>6.8523926517434512</v>
      </c>
      <c r="W304" s="24">
        <f t="shared" si="89"/>
        <v>6.8303932821228983</v>
      </c>
      <c r="X304" s="24">
        <f t="shared" si="89"/>
        <v>6.8549124276768367</v>
      </c>
      <c r="Y304" s="24">
        <f t="shared" si="89"/>
        <v>6.8361476222137583</v>
      </c>
      <c r="Z304" s="24">
        <f t="shared" si="89"/>
        <v>6.8015875498310194</v>
      </c>
      <c r="AA304" s="24">
        <f t="shared" si="89"/>
        <v>6.7741276572798563</v>
      </c>
      <c r="AB304" s="24">
        <f t="shared" si="89"/>
        <v>6.9322152472352876</v>
      </c>
      <c r="AC304" s="24">
        <f t="shared" si="89"/>
        <v>6.8833051195011965</v>
      </c>
      <c r="AD304" s="24">
        <f t="shared" si="89"/>
        <v>6.6137596652716342</v>
      </c>
      <c r="AE304" s="24">
        <f t="shared" si="89"/>
        <v>6.1205604739030086</v>
      </c>
      <c r="AF304" s="2"/>
    </row>
    <row r="305" spans="1:33">
      <c r="B305" s="5" t="s">
        <v>939</v>
      </c>
      <c r="D305" t="s">
        <v>769</v>
      </c>
      <c r="H305" t="s">
        <v>866</v>
      </c>
      <c r="J305" s="2"/>
      <c r="K305" s="2"/>
      <c r="L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3">
      <c r="A306" t="s">
        <v>879</v>
      </c>
      <c r="C306" s="11"/>
      <c r="G306" s="98">
        <f>SUM(H306:AE306)/48</f>
        <v>276.8190881510418</v>
      </c>
      <c r="H306" s="97">
        <f>H$64*(1-($F$16+$F$13)*H$262)</f>
        <v>51.716170768402407</v>
      </c>
      <c r="I306" s="97">
        <f t="shared" ref="I306:AE306" si="90">I$64*(1-($F$16+$F$13)*I$262)</f>
        <v>165.29458745435292</v>
      </c>
      <c r="J306" s="97">
        <f t="shared" si="90"/>
        <v>276.26074965588106</v>
      </c>
      <c r="K306" s="97">
        <f t="shared" si="90"/>
        <v>382.32177594396609</v>
      </c>
      <c r="L306" s="97">
        <f t="shared" si="90"/>
        <v>482.0882987290309</v>
      </c>
      <c r="M306" s="97">
        <f t="shared" si="90"/>
        <v>573.37506925137245</v>
      </c>
      <c r="N306" s="97">
        <f t="shared" si="90"/>
        <v>654.50948237151363</v>
      </c>
      <c r="O306" s="97">
        <f t="shared" si="90"/>
        <v>724.47571302210577</v>
      </c>
      <c r="P306" s="97">
        <f t="shared" si="90"/>
        <v>781.99047363313298</v>
      </c>
      <c r="Q306" s="97">
        <f t="shared" si="90"/>
        <v>825.75516906218149</v>
      </c>
      <c r="R306" s="97">
        <f t="shared" si="90"/>
        <v>855.48551511088158</v>
      </c>
      <c r="S306" s="97">
        <f t="shared" si="90"/>
        <v>870.38511062218015</v>
      </c>
      <c r="T306" s="97">
        <f t="shared" si="90"/>
        <v>870.38511062218015</v>
      </c>
      <c r="U306" s="97">
        <f t="shared" si="90"/>
        <v>855.48551511088158</v>
      </c>
      <c r="V306" s="97">
        <f t="shared" si="90"/>
        <v>825.75516906218149</v>
      </c>
      <c r="W306" s="97">
        <f t="shared" si="90"/>
        <v>781.99047363313298</v>
      </c>
      <c r="X306" s="97">
        <f t="shared" si="90"/>
        <v>724.47571302210577</v>
      </c>
      <c r="Y306" s="97">
        <f t="shared" si="90"/>
        <v>654.50948237151363</v>
      </c>
      <c r="Z306" s="97">
        <f t="shared" si="90"/>
        <v>573.37506925137245</v>
      </c>
      <c r="AA306" s="97">
        <f t="shared" si="90"/>
        <v>482.0882987290309</v>
      </c>
      <c r="AB306" s="97">
        <f t="shared" si="90"/>
        <v>382.32177594396609</v>
      </c>
      <c r="AC306" s="97">
        <f t="shared" si="90"/>
        <v>276.26074965588106</v>
      </c>
      <c r="AD306" s="97">
        <f t="shared" si="90"/>
        <v>165.29458745435292</v>
      </c>
      <c r="AE306" s="97">
        <f t="shared" si="90"/>
        <v>51.716170768402407</v>
      </c>
      <c r="AF306" s="28"/>
      <c r="AG306" s="11"/>
    </row>
    <row r="307" spans="1:33">
      <c r="B307" s="24" t="s">
        <v>951</v>
      </c>
      <c r="D307" s="2" t="s">
        <v>961</v>
      </c>
      <c r="E307" s="106" t="s">
        <v>970</v>
      </c>
      <c r="G307" t="s">
        <v>853</v>
      </c>
      <c r="I307" t="s">
        <v>960</v>
      </c>
      <c r="AF307" s="28"/>
      <c r="AG307" s="11"/>
    </row>
    <row r="308" spans="1:33">
      <c r="A308" t="s">
        <v>878</v>
      </c>
      <c r="C308" s="11"/>
      <c r="D308" s="24"/>
      <c r="G308" s="97">
        <f>SUM(H308:AE308)/48</f>
        <v>141.45292256798888</v>
      </c>
      <c r="H308" s="97">
        <f>H306*($P$20*(1-H$27)+$F$15*H$27)</f>
        <v>5.1716170768402412</v>
      </c>
      <c r="I308" s="97">
        <f t="shared" ref="I308:AE308" si="91">I306*($P$20*(1-I$27)+$F$15*I$27)</f>
        <v>16.529458745435292</v>
      </c>
      <c r="J308" s="97">
        <f t="shared" si="91"/>
        <v>27.626074965588106</v>
      </c>
      <c r="K308" s="97">
        <f t="shared" si="91"/>
        <v>38.23217759439661</v>
      </c>
      <c r="L308" s="97">
        <f t="shared" si="91"/>
        <v>48.208829872903095</v>
      </c>
      <c r="M308" s="97">
        <f t="shared" si="91"/>
        <v>57.337506925137248</v>
      </c>
      <c r="N308" s="97">
        <f t="shared" si="91"/>
        <v>65.450948237151366</v>
      </c>
      <c r="O308" s="97">
        <f t="shared" si="91"/>
        <v>72.447571302210577</v>
      </c>
      <c r="P308" s="97">
        <f t="shared" si="91"/>
        <v>547.39333154319309</v>
      </c>
      <c r="Q308" s="97">
        <f t="shared" si="91"/>
        <v>578.028618343527</v>
      </c>
      <c r="R308" s="97">
        <f t="shared" si="91"/>
        <v>598.83986057761706</v>
      </c>
      <c r="S308" s="97">
        <f t="shared" si="91"/>
        <v>609.26957743552612</v>
      </c>
      <c r="T308" s="97">
        <f t="shared" si="91"/>
        <v>609.26957743552612</v>
      </c>
      <c r="U308" s="97">
        <f t="shared" si="91"/>
        <v>598.83986057761706</v>
      </c>
      <c r="V308" s="97">
        <f t="shared" si="91"/>
        <v>578.028618343527</v>
      </c>
      <c r="W308" s="97">
        <f t="shared" si="91"/>
        <v>547.39333154319309</v>
      </c>
      <c r="X308" s="97">
        <f t="shared" si="91"/>
        <v>507.13299911547398</v>
      </c>
      <c r="Y308" s="97">
        <f t="shared" si="91"/>
        <v>458.15663766005952</v>
      </c>
      <c r="Z308" s="97">
        <f t="shared" si="91"/>
        <v>401.36254847596069</v>
      </c>
      <c r="AA308" s="97">
        <f t="shared" si="91"/>
        <v>337.46180911032161</v>
      </c>
      <c r="AB308" s="97">
        <f t="shared" si="91"/>
        <v>38.23217759439661</v>
      </c>
      <c r="AC308" s="97">
        <f t="shared" si="91"/>
        <v>27.626074965588106</v>
      </c>
      <c r="AD308" s="97">
        <f t="shared" si="91"/>
        <v>16.529458745435292</v>
      </c>
      <c r="AE308" s="97">
        <f t="shared" si="91"/>
        <v>5.1716170768402412</v>
      </c>
      <c r="AF308" s="28"/>
      <c r="AG308" s="11"/>
    </row>
    <row r="309" spans="1:33">
      <c r="B309" s="24" t="s">
        <v>917</v>
      </c>
      <c r="D309" s="14" t="s">
        <v>945</v>
      </c>
      <c r="G309" t="s">
        <v>888</v>
      </c>
      <c r="I309" s="24" t="s">
        <v>1009</v>
      </c>
      <c r="M309" s="2" t="s">
        <v>860</v>
      </c>
      <c r="AF309" s="28"/>
      <c r="AG309" s="11"/>
    </row>
    <row r="310" spans="1:33" ht="18">
      <c r="A310" s="20" t="s">
        <v>881</v>
      </c>
      <c r="G310" s="19">
        <f>SUM(H310:AE310)/48</f>
        <v>131.34558360472411</v>
      </c>
      <c r="H310" s="2">
        <f>H$64*H$27*$F$15*(1-H$262*$F$16)*(1-$H$263*$F$16)</f>
        <v>0</v>
      </c>
      <c r="I310" s="2">
        <f t="shared" ref="I310:AE310" si="92">I$64*I$27*$F$15*(1-I$262*$F$16)*(1-$H$263*$F$16)</f>
        <v>0</v>
      </c>
      <c r="J310" s="2">
        <f t="shared" si="92"/>
        <v>0</v>
      </c>
      <c r="K310" s="2">
        <f t="shared" si="92"/>
        <v>0</v>
      </c>
      <c r="L310" s="2">
        <f t="shared" si="92"/>
        <v>0</v>
      </c>
      <c r="M310" s="2">
        <f t="shared" si="92"/>
        <v>0</v>
      </c>
      <c r="N310" s="2">
        <f t="shared" si="92"/>
        <v>0</v>
      </c>
      <c r="O310" s="2">
        <f t="shared" si="92"/>
        <v>0</v>
      </c>
      <c r="P310" s="2">
        <f t="shared" si="92"/>
        <v>541.6690380463175</v>
      </c>
      <c r="Q310" s="2">
        <f t="shared" si="92"/>
        <v>571.97897023222595</v>
      </c>
      <c r="R310" s="2">
        <f t="shared" si="92"/>
        <v>592.56938028719014</v>
      </c>
      <c r="S310" s="2">
        <f t="shared" si="92"/>
        <v>602.88832153484941</v>
      </c>
      <c r="T310" s="2">
        <f t="shared" si="92"/>
        <v>602.88832153484941</v>
      </c>
      <c r="U310" s="2">
        <f t="shared" si="92"/>
        <v>592.56938028719014</v>
      </c>
      <c r="V310" s="2">
        <f t="shared" si="92"/>
        <v>571.97897023222595</v>
      </c>
      <c r="W310" s="2">
        <f t="shared" si="92"/>
        <v>541.6690380463175</v>
      </c>
      <c r="X310" s="2">
        <f t="shared" si="92"/>
        <v>501.83702076250177</v>
      </c>
      <c r="Y310" s="2">
        <f t="shared" si="92"/>
        <v>453.3810280792016</v>
      </c>
      <c r="Z310" s="2">
        <f t="shared" si="92"/>
        <v>397.19019292048904</v>
      </c>
      <c r="AA310" s="2">
        <f t="shared" si="92"/>
        <v>333.96835106339853</v>
      </c>
      <c r="AB310" s="2">
        <f t="shared" si="92"/>
        <v>0</v>
      </c>
      <c r="AC310" s="2">
        <f t="shared" si="92"/>
        <v>0</v>
      </c>
      <c r="AD310" s="2">
        <f t="shared" si="92"/>
        <v>0</v>
      </c>
      <c r="AE310" s="2">
        <f t="shared" si="92"/>
        <v>0</v>
      </c>
      <c r="AF310" s="2"/>
    </row>
    <row r="311" spans="1:33">
      <c r="B311" s="5" t="s">
        <v>942</v>
      </c>
      <c r="C311" s="11"/>
      <c r="D311" t="s">
        <v>769</v>
      </c>
      <c r="E311" s="12"/>
      <c r="F311" s="18"/>
      <c r="G311" s="2" t="s">
        <v>860</v>
      </c>
      <c r="I311" s="2" t="s">
        <v>867</v>
      </c>
      <c r="K311" s="9"/>
      <c r="AF311" s="2"/>
    </row>
    <row r="312" spans="1:33">
      <c r="A312" s="11" t="s">
        <v>568</v>
      </c>
      <c r="B312" t="s">
        <v>883</v>
      </c>
      <c r="C312" s="11"/>
      <c r="E312" s="12"/>
      <c r="F312" s="18"/>
      <c r="G312" s="2" t="s">
        <v>964</v>
      </c>
      <c r="H312" s="2"/>
      <c r="J312" t="s">
        <v>868</v>
      </c>
      <c r="AF312" s="2"/>
    </row>
    <row r="313" spans="1:33">
      <c r="A313" s="11"/>
      <c r="B313" t="s">
        <v>962</v>
      </c>
      <c r="C313" s="11"/>
      <c r="E313" s="12"/>
      <c r="F313" s="18"/>
      <c r="G313" s="19"/>
      <c r="I313" s="12" t="s">
        <v>858</v>
      </c>
      <c r="K313" s="11"/>
      <c r="AF313" s="2"/>
    </row>
    <row r="314" spans="1:33">
      <c r="A314" s="11"/>
      <c r="B314" s="2" t="s">
        <v>963</v>
      </c>
      <c r="C314" s="11"/>
      <c r="E314" s="12"/>
      <c r="F314" s="18"/>
      <c r="G314" s="19"/>
      <c r="H314" s="2"/>
      <c r="K314" s="11"/>
      <c r="L314" s="12"/>
      <c r="AF314" s="2"/>
    </row>
    <row r="315" spans="1:33" ht="18">
      <c r="A315" s="20" t="s">
        <v>882</v>
      </c>
      <c r="G315" s="19">
        <f>SUM(H315:AE315)/48</f>
        <v>8.6775991804967827</v>
      </c>
      <c r="H315" s="2">
        <f t="shared" ref="H315:AE315" si="93">H$64*$P$20*H$28^2*(1-H$262*$F$16)*(1-$H$263*$F$16)</f>
        <v>5.1287527304634324</v>
      </c>
      <c r="I315" s="2">
        <f t="shared" si="93"/>
        <v>16.366834144078322</v>
      </c>
      <c r="J315" s="2">
        <f t="shared" si="93"/>
        <v>27.34602443641073</v>
      </c>
      <c r="K315" s="2">
        <f t="shared" si="93"/>
        <v>37.839478816816111</v>
      </c>
      <c r="L315" s="2">
        <f t="shared" si="93"/>
        <v>47.709764437628358</v>
      </c>
      <c r="M315" s="2">
        <f t="shared" si="93"/>
        <v>56.741456131498445</v>
      </c>
      <c r="N315" s="2">
        <f t="shared" si="93"/>
        <v>64.768718297028812</v>
      </c>
      <c r="O315" s="2">
        <f t="shared" si="93"/>
        <v>71.691002966071679</v>
      </c>
      <c r="P315" s="2">
        <f t="shared" si="93"/>
        <v>0.19345322787368521</v>
      </c>
      <c r="Q315" s="2">
        <f t="shared" si="93"/>
        <v>0.20427820365436675</v>
      </c>
      <c r="R315" s="2">
        <f t="shared" si="93"/>
        <v>0.21163192153113972</v>
      </c>
      <c r="S315" s="2">
        <f t="shared" si="93"/>
        <v>0.21531725769101803</v>
      </c>
      <c r="T315" s="2">
        <f t="shared" si="93"/>
        <v>0.21531725769101803</v>
      </c>
      <c r="U315" s="2">
        <f t="shared" si="93"/>
        <v>0.21163192153113972</v>
      </c>
      <c r="V315" s="2">
        <f t="shared" si="93"/>
        <v>0.20427820365436675</v>
      </c>
      <c r="W315" s="2">
        <f t="shared" si="93"/>
        <v>0.19345322787368521</v>
      </c>
      <c r="X315" s="2">
        <f t="shared" si="93"/>
        <v>0.17922750741517948</v>
      </c>
      <c r="Y315" s="2">
        <f t="shared" si="93"/>
        <v>0.16192179574257232</v>
      </c>
      <c r="Z315" s="2">
        <f t="shared" si="93"/>
        <v>0.14185364032874637</v>
      </c>
      <c r="AA315" s="2">
        <f t="shared" si="93"/>
        <v>0.11927441109407111</v>
      </c>
      <c r="AB315" s="2">
        <f t="shared" si="93"/>
        <v>37.839478816816111</v>
      </c>
      <c r="AC315" s="2">
        <f t="shared" si="93"/>
        <v>27.34602443641073</v>
      </c>
      <c r="AD315" s="2">
        <f t="shared" si="93"/>
        <v>16.366834144078322</v>
      </c>
      <c r="AE315" s="2">
        <f t="shared" si="93"/>
        <v>5.1287527304634324</v>
      </c>
      <c r="AF315" s="2"/>
    </row>
    <row r="316" spans="1:33">
      <c r="A316" s="14"/>
      <c r="B316" s="5" t="s">
        <v>946</v>
      </c>
      <c r="G316" s="2"/>
      <c r="H316" s="2"/>
      <c r="I316" s="2"/>
      <c r="J316" s="10"/>
      <c r="K316" s="9"/>
      <c r="AF316" s="2"/>
    </row>
    <row r="317" spans="1:33">
      <c r="A317" s="11" t="s">
        <v>568</v>
      </c>
      <c r="B317" t="s">
        <v>726</v>
      </c>
      <c r="C317" s="11"/>
      <c r="E317" s="12"/>
      <c r="F317" s="18"/>
      <c r="G317" s="2" t="s">
        <v>964</v>
      </c>
      <c r="H317" s="2"/>
      <c r="J317" s="11"/>
      <c r="K317" t="s">
        <v>868</v>
      </c>
      <c r="M317" s="10"/>
      <c r="N317" s="10"/>
      <c r="AF317" s="2"/>
    </row>
    <row r="318" spans="1:33">
      <c r="A318" s="11"/>
      <c r="B318" t="s">
        <v>962</v>
      </c>
      <c r="C318" s="11"/>
      <c r="E318" s="12"/>
      <c r="F318" s="18"/>
      <c r="G318" s="19"/>
      <c r="H318" s="2"/>
      <c r="J318" s="11"/>
      <c r="M318" s="10"/>
      <c r="N318" s="10"/>
      <c r="AF318" s="2"/>
    </row>
    <row r="319" spans="1:33">
      <c r="A319" t="s">
        <v>834</v>
      </c>
      <c r="B319" s="5"/>
      <c r="C319" s="11"/>
      <c r="D319" s="5" t="s">
        <v>952</v>
      </c>
      <c r="F319" t="s">
        <v>971</v>
      </c>
      <c r="G319" s="97">
        <f>SUM(H319:AE319)/48</f>
        <v>1.5036733462090999</v>
      </c>
      <c r="H319" s="97">
        <f>H308*$H$263*$F$16</f>
        <v>5.4975341718420681E-2</v>
      </c>
      <c r="I319" s="97">
        <f t="shared" ref="I319:AE319" si="94">I308*$H$263*$F$16</f>
        <v>0.17571150946582617</v>
      </c>
      <c r="J319" s="97">
        <f t="shared" si="94"/>
        <v>0.29367079754865416</v>
      </c>
      <c r="K319" s="97">
        <f t="shared" si="94"/>
        <v>0.40641582635802503</v>
      </c>
      <c r="L319" s="97">
        <f t="shared" si="94"/>
        <v>0.51246966987883313</v>
      </c>
      <c r="M319" s="97">
        <f t="shared" si="94"/>
        <v>0.60950936421952473</v>
      </c>
      <c r="N319" s="97">
        <f t="shared" si="94"/>
        <v>0.69575689608683944</v>
      </c>
      <c r="O319" s="97">
        <f t="shared" si="94"/>
        <v>0.77013242276671157</v>
      </c>
      <c r="P319" s="97">
        <f t="shared" si="94"/>
        <v>5.8189024842415664</v>
      </c>
      <c r="Q319" s="97">
        <f t="shared" si="94"/>
        <v>6.1445618158329109</v>
      </c>
      <c r="R319" s="97">
        <f t="shared" si="94"/>
        <v>6.3657895549336097</v>
      </c>
      <c r="S319" s="97">
        <f t="shared" si="94"/>
        <v>6.476659567111744</v>
      </c>
      <c r="T319" s="97">
        <f t="shared" si="94"/>
        <v>6.476659567111744</v>
      </c>
      <c r="U319" s="97">
        <f t="shared" si="94"/>
        <v>6.3657895549336097</v>
      </c>
      <c r="V319" s="97">
        <f t="shared" si="94"/>
        <v>6.1445618158329109</v>
      </c>
      <c r="W319" s="97">
        <f t="shared" si="94"/>
        <v>5.8189024842415664</v>
      </c>
      <c r="X319" s="97">
        <f t="shared" si="94"/>
        <v>5.3909269593669809</v>
      </c>
      <c r="Y319" s="97">
        <f t="shared" si="94"/>
        <v>4.8702982726078758</v>
      </c>
      <c r="Z319" s="97">
        <f t="shared" si="94"/>
        <v>4.266565549536673</v>
      </c>
      <c r="AA319" s="97">
        <f t="shared" si="94"/>
        <v>3.5872876891518315</v>
      </c>
      <c r="AB319" s="97">
        <f t="shared" si="94"/>
        <v>0.40641582635802503</v>
      </c>
      <c r="AC319" s="97">
        <f t="shared" si="94"/>
        <v>0.29367079754865416</v>
      </c>
      <c r="AD319" s="97">
        <f t="shared" si="94"/>
        <v>0.17571150946582617</v>
      </c>
      <c r="AE319" s="97">
        <f t="shared" si="94"/>
        <v>5.4975341718420681E-2</v>
      </c>
      <c r="AF319" s="28"/>
      <c r="AG319" s="11"/>
    </row>
    <row r="320" spans="1:33">
      <c r="A320" t="s">
        <v>918</v>
      </c>
      <c r="B320" s="5"/>
      <c r="C320" s="11"/>
      <c r="D320" s="104" t="s">
        <v>1094</v>
      </c>
      <c r="G320" s="97">
        <f>SUM(H320:AE320)/48</f>
        <v>0.99695365105719758</v>
      </c>
      <c r="H320" s="97">
        <f>H319*($P$20*(1-H$27)+$F$15*H$27)</f>
        <v>5.4975341718420685E-3</v>
      </c>
      <c r="I320" s="97">
        <f t="shared" ref="I320:AE320" si="95">I319*($P$20*(1-I$27)+$F$15*I$27)</f>
        <v>1.7571150946582619E-2</v>
      </c>
      <c r="J320" s="97">
        <f t="shared" si="95"/>
        <v>2.9367079754865417E-2</v>
      </c>
      <c r="K320" s="97">
        <f t="shared" si="95"/>
        <v>4.0641582635802503E-2</v>
      </c>
      <c r="L320" s="97">
        <f t="shared" si="95"/>
        <v>5.1246966987883315E-2</v>
      </c>
      <c r="M320" s="97">
        <f t="shared" si="95"/>
        <v>6.0950936421952477E-2</v>
      </c>
      <c r="N320" s="97">
        <f t="shared" si="95"/>
        <v>6.9575689608683947E-2</v>
      </c>
      <c r="O320" s="97">
        <f t="shared" si="95"/>
        <v>7.7013242276671168E-2</v>
      </c>
      <c r="P320" s="97">
        <f t="shared" si="95"/>
        <v>4.0732317389690964</v>
      </c>
      <c r="Q320" s="97">
        <f t="shared" si="95"/>
        <v>4.3011932710830374</v>
      </c>
      <c r="R320" s="97">
        <f t="shared" si="95"/>
        <v>4.4560526884535268</v>
      </c>
      <c r="S320" s="97">
        <f t="shared" si="95"/>
        <v>4.5336616969782204</v>
      </c>
      <c r="T320" s="97">
        <f t="shared" si="95"/>
        <v>4.5336616969782204</v>
      </c>
      <c r="U320" s="97">
        <f t="shared" si="95"/>
        <v>4.4560526884535268</v>
      </c>
      <c r="V320" s="97">
        <f t="shared" si="95"/>
        <v>4.3011932710830374</v>
      </c>
      <c r="W320" s="97">
        <f t="shared" si="95"/>
        <v>4.0732317389690964</v>
      </c>
      <c r="X320" s="97">
        <f t="shared" si="95"/>
        <v>3.7736488715568863</v>
      </c>
      <c r="Y320" s="97">
        <f t="shared" si="95"/>
        <v>3.4092087908255131</v>
      </c>
      <c r="Z320" s="97">
        <f t="shared" si="95"/>
        <v>2.9865958846756708</v>
      </c>
      <c r="AA320" s="97">
        <f t="shared" si="95"/>
        <v>2.5111013824062818</v>
      </c>
      <c r="AB320" s="97">
        <f t="shared" si="95"/>
        <v>4.0641582635802503E-2</v>
      </c>
      <c r="AC320" s="97">
        <f t="shared" si="95"/>
        <v>2.9367079754865417E-2</v>
      </c>
      <c r="AD320" s="97">
        <f t="shared" si="95"/>
        <v>1.7571150946582619E-2</v>
      </c>
      <c r="AE320" s="97">
        <f t="shared" si="95"/>
        <v>5.4975341718420685E-3</v>
      </c>
      <c r="AF320" s="28"/>
      <c r="AG320" s="11"/>
    </row>
    <row r="321" spans="1:33">
      <c r="A321" s="20" t="s">
        <v>835</v>
      </c>
      <c r="B321" s="5"/>
      <c r="C321" s="11"/>
      <c r="G321" s="19">
        <f>SUM(H321:AE321)/48</f>
        <v>0.98614387450828511</v>
      </c>
      <c r="H321" s="24">
        <f>H320*(1-($F$16+$F$13)*$H$263)</f>
        <v>5.4379254669593442E-3</v>
      </c>
      <c r="I321" s="24">
        <f t="shared" ref="I321:AE321" si="96">I320*(1-($F$16+$F$13)*$H$263)</f>
        <v>1.7380630338891027E-2</v>
      </c>
      <c r="J321" s="24">
        <f t="shared" si="96"/>
        <v>2.9048658161537032E-2</v>
      </c>
      <c r="K321" s="24">
        <f t="shared" si="96"/>
        <v>4.0200913777805637E-2</v>
      </c>
      <c r="L321" s="24">
        <f t="shared" si="96"/>
        <v>5.0691305988637199E-2</v>
      </c>
      <c r="M321" s="24">
        <f t="shared" si="96"/>
        <v>6.0290057149912507E-2</v>
      </c>
      <c r="N321" s="24">
        <f t="shared" si="96"/>
        <v>6.8821293797896949E-2</v>
      </c>
      <c r="O321" s="24">
        <f t="shared" si="96"/>
        <v>7.6178202513854446E-2</v>
      </c>
      <c r="P321" s="24">
        <f t="shared" si="96"/>
        <v>4.0290664712221931</v>
      </c>
      <c r="Q321" s="24">
        <f t="shared" si="96"/>
        <v>4.2545562603205127</v>
      </c>
      <c r="R321" s="24">
        <f t="shared" si="96"/>
        <v>4.4077365668351511</v>
      </c>
      <c r="S321" s="24">
        <f t="shared" si="96"/>
        <v>4.4845040758182719</v>
      </c>
      <c r="T321" s="24">
        <f t="shared" si="96"/>
        <v>4.4845040758182719</v>
      </c>
      <c r="U321" s="24">
        <f t="shared" si="96"/>
        <v>4.4077365668351511</v>
      </c>
      <c r="V321" s="24">
        <f t="shared" si="96"/>
        <v>4.2545562603205127</v>
      </c>
      <c r="W321" s="24">
        <f t="shared" si="96"/>
        <v>4.0290664712221931</v>
      </c>
      <c r="X321" s="24">
        <f t="shared" si="96"/>
        <v>3.7327319231788669</v>
      </c>
      <c r="Y321" s="24">
        <f t="shared" si="96"/>
        <v>3.37224339609695</v>
      </c>
      <c r="Z321" s="24">
        <f t="shared" si="96"/>
        <v>2.9542128003457124</v>
      </c>
      <c r="AA321" s="24">
        <f t="shared" si="96"/>
        <v>2.4838739934432219</v>
      </c>
      <c r="AB321" s="24">
        <f t="shared" si="96"/>
        <v>4.0200913777805637E-2</v>
      </c>
      <c r="AC321" s="24">
        <f t="shared" si="96"/>
        <v>2.9048658161537032E-2</v>
      </c>
      <c r="AD321" s="24">
        <f t="shared" si="96"/>
        <v>1.7380630338891027E-2</v>
      </c>
      <c r="AE321" s="24">
        <f t="shared" si="96"/>
        <v>5.4379254669593442E-3</v>
      </c>
      <c r="AF321" s="28"/>
      <c r="AG321" s="11"/>
    </row>
    <row r="322" spans="1:33">
      <c r="A322" s="20"/>
      <c r="B322" s="24" t="s">
        <v>972</v>
      </c>
      <c r="C322" s="11"/>
      <c r="G322" s="19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8"/>
      <c r="AG322" s="11"/>
    </row>
    <row r="323" spans="1:33">
      <c r="A323" s="100" t="s">
        <v>836</v>
      </c>
      <c r="B323" s="5"/>
      <c r="C323" s="11"/>
      <c r="G323" s="19">
        <f>SUM(H323:AE323)/48</f>
        <v>7.2740807890227079E-3</v>
      </c>
      <c r="H323" s="2">
        <f>H321^2/(H310+H315)</f>
        <v>5.7657358305774616E-6</v>
      </c>
      <c r="I323" s="2">
        <f t="shared" ref="I323:AE323" si="97">I321^2/(I310+I315)</f>
        <v>1.8457223206265397E-5</v>
      </c>
      <c r="J323" s="2">
        <f t="shared" si="97"/>
        <v>3.0857302235943852E-5</v>
      </c>
      <c r="K323" s="2">
        <f t="shared" si="97"/>
        <v>4.2709717974560258E-5</v>
      </c>
      <c r="L323" s="2">
        <f t="shared" si="97"/>
        <v>5.3859173968316919E-5</v>
      </c>
      <c r="M323" s="2">
        <f t="shared" si="97"/>
        <v>6.4060587072630791E-5</v>
      </c>
      <c r="N323" s="2">
        <f t="shared" si="97"/>
        <v>7.3127438747444293E-5</v>
      </c>
      <c r="O323" s="2">
        <f t="shared" si="97"/>
        <v>8.0946259616261615E-5</v>
      </c>
      <c r="P323" s="2">
        <f t="shared" si="97"/>
        <v>2.995848004048781E-2</v>
      </c>
      <c r="Q323" s="2">
        <f t="shared" si="97"/>
        <v>3.163540530365757E-2</v>
      </c>
      <c r="R323" s="2">
        <f t="shared" si="97"/>
        <v>3.2774568082445547E-2</v>
      </c>
      <c r="S323" s="2">
        <f t="shared" si="97"/>
        <v>3.3345474164762134E-2</v>
      </c>
      <c r="T323" s="2">
        <f t="shared" si="97"/>
        <v>3.3345474164762134E-2</v>
      </c>
      <c r="U323" s="2">
        <f t="shared" si="97"/>
        <v>3.2774568082445547E-2</v>
      </c>
      <c r="V323" s="2">
        <f t="shared" si="97"/>
        <v>3.163540530365757E-2</v>
      </c>
      <c r="W323" s="2">
        <f t="shared" si="97"/>
        <v>2.995848004048781E-2</v>
      </c>
      <c r="X323" s="2">
        <f t="shared" si="97"/>
        <v>2.7754654671709254E-2</v>
      </c>
      <c r="Y323" s="2">
        <f t="shared" si="97"/>
        <v>2.5073756577310067E-2</v>
      </c>
      <c r="Z323" s="2">
        <f t="shared" si="97"/>
        <v>2.1964936745646056E-2</v>
      </c>
      <c r="AA323" s="2">
        <f t="shared" si="97"/>
        <v>1.8467101277819181E-2</v>
      </c>
      <c r="AB323" s="2">
        <f t="shared" si="97"/>
        <v>4.2709717974560258E-5</v>
      </c>
      <c r="AC323" s="2">
        <f t="shared" si="97"/>
        <v>3.0857302235943852E-5</v>
      </c>
      <c r="AD323" s="2">
        <f t="shared" si="97"/>
        <v>1.8457223206265397E-5</v>
      </c>
      <c r="AE323" s="2">
        <f t="shared" si="97"/>
        <v>5.7657358305774616E-6</v>
      </c>
      <c r="AF323" s="28"/>
      <c r="AG323" s="11"/>
    </row>
    <row r="324" spans="1:33" ht="18">
      <c r="A324" s="100"/>
      <c r="B324" s="24" t="s">
        <v>973</v>
      </c>
      <c r="C324" s="11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8"/>
      <c r="AG324" s="11"/>
    </row>
    <row r="325" spans="1:33" ht="18">
      <c r="A325" s="20" t="s">
        <v>890</v>
      </c>
      <c r="G325" s="19">
        <f>(SUM(H325:AE325)+24*$P$24*(1-$H$263))/48</f>
        <v>268.37930160757878</v>
      </c>
      <c r="H325" s="2">
        <f>$P$24*(1-H$27)*(1-$H$263)</f>
        <v>357.83906881010506</v>
      </c>
      <c r="I325" s="2">
        <f t="shared" ref="I325:AE325" si="98">$P$24*(1-I$27)*(1-$H$263)</f>
        <v>357.83906881010506</v>
      </c>
      <c r="J325" s="2">
        <f t="shared" si="98"/>
        <v>357.83906881010506</v>
      </c>
      <c r="K325" s="2">
        <f t="shared" si="98"/>
        <v>357.83906881010506</v>
      </c>
      <c r="L325" s="2">
        <f t="shared" si="98"/>
        <v>357.83906881010506</v>
      </c>
      <c r="M325" s="2">
        <f t="shared" si="98"/>
        <v>357.83906881010506</v>
      </c>
      <c r="N325" s="2">
        <f t="shared" si="98"/>
        <v>357.83906881010506</v>
      </c>
      <c r="O325" s="2">
        <f t="shared" si="98"/>
        <v>357.83906881010506</v>
      </c>
      <c r="P325" s="2">
        <f t="shared" si="98"/>
        <v>0</v>
      </c>
      <c r="Q325" s="2">
        <f t="shared" si="98"/>
        <v>0</v>
      </c>
      <c r="R325" s="2">
        <f t="shared" si="98"/>
        <v>0</v>
      </c>
      <c r="S325" s="2">
        <f t="shared" si="98"/>
        <v>0</v>
      </c>
      <c r="T325" s="2">
        <f t="shared" si="98"/>
        <v>0</v>
      </c>
      <c r="U325" s="2">
        <f t="shared" si="98"/>
        <v>0</v>
      </c>
      <c r="V325" s="2">
        <f t="shared" si="98"/>
        <v>0</v>
      </c>
      <c r="W325" s="2">
        <f t="shared" si="98"/>
        <v>0</v>
      </c>
      <c r="X325" s="2">
        <f t="shared" si="98"/>
        <v>0</v>
      </c>
      <c r="Y325" s="2">
        <f t="shared" si="98"/>
        <v>0</v>
      </c>
      <c r="Z325" s="2">
        <f t="shared" si="98"/>
        <v>0</v>
      </c>
      <c r="AA325" s="2">
        <f t="shared" si="98"/>
        <v>0</v>
      </c>
      <c r="AB325" s="2">
        <f t="shared" si="98"/>
        <v>357.83906881010506</v>
      </c>
      <c r="AC325" s="2">
        <f t="shared" si="98"/>
        <v>357.83906881010506</v>
      </c>
      <c r="AD325" s="2">
        <f t="shared" si="98"/>
        <v>357.83906881010506</v>
      </c>
      <c r="AE325" s="2">
        <f t="shared" si="98"/>
        <v>357.83906881010506</v>
      </c>
      <c r="AF325" s="2"/>
    </row>
    <row r="326" spans="1:33">
      <c r="A326" s="14"/>
      <c r="B326" s="5" t="s">
        <v>965</v>
      </c>
      <c r="D326" t="s">
        <v>975</v>
      </c>
      <c r="E326" s="12"/>
      <c r="F326" s="6"/>
      <c r="G326" s="2" t="s">
        <v>860</v>
      </c>
      <c r="I326" s="2" t="s">
        <v>966</v>
      </c>
      <c r="J326" s="10"/>
      <c r="K326" s="9"/>
      <c r="AF326" s="2"/>
    </row>
    <row r="327" spans="1:33" ht="18">
      <c r="A327" s="20" t="s">
        <v>891</v>
      </c>
      <c r="D327" s="105" t="s">
        <v>892</v>
      </c>
      <c r="E327">
        <f>$F$7</f>
        <v>-5</v>
      </c>
      <c r="F327" s="5" t="s">
        <v>893</v>
      </c>
      <c r="G327" s="19">
        <f>SUM(H327:AE327)/48</f>
        <v>71.948409482699844</v>
      </c>
      <c r="H327" s="2">
        <f t="shared" ref="H327:AE327" si="99">$M$9*($F$7+273)^4*H$27*(1-$H$263)</f>
        <v>0</v>
      </c>
      <c r="I327" s="2">
        <f t="shared" si="99"/>
        <v>0</v>
      </c>
      <c r="J327" s="2">
        <f t="shared" si="99"/>
        <v>0</v>
      </c>
      <c r="K327" s="2">
        <f t="shared" si="99"/>
        <v>0</v>
      </c>
      <c r="L327" s="2">
        <f t="shared" si="99"/>
        <v>0</v>
      </c>
      <c r="M327" s="2">
        <f t="shared" si="99"/>
        <v>0</v>
      </c>
      <c r="N327" s="2">
        <f t="shared" si="99"/>
        <v>0</v>
      </c>
      <c r="O327" s="2">
        <f t="shared" si="99"/>
        <v>0</v>
      </c>
      <c r="P327" s="2">
        <f t="shared" si="99"/>
        <v>287.79363793079938</v>
      </c>
      <c r="Q327" s="2">
        <f t="shared" si="99"/>
        <v>287.79363793079938</v>
      </c>
      <c r="R327" s="2">
        <f t="shared" si="99"/>
        <v>287.79363793079938</v>
      </c>
      <c r="S327" s="2">
        <f t="shared" si="99"/>
        <v>287.79363793079938</v>
      </c>
      <c r="T327" s="2">
        <f t="shared" si="99"/>
        <v>287.79363793079938</v>
      </c>
      <c r="U327" s="2">
        <f t="shared" si="99"/>
        <v>287.79363793079938</v>
      </c>
      <c r="V327" s="2">
        <f t="shared" si="99"/>
        <v>287.79363793079938</v>
      </c>
      <c r="W327" s="2">
        <f t="shared" si="99"/>
        <v>287.79363793079938</v>
      </c>
      <c r="X327" s="2">
        <f t="shared" si="99"/>
        <v>287.79363793079938</v>
      </c>
      <c r="Y327" s="2">
        <f t="shared" si="99"/>
        <v>287.79363793079938</v>
      </c>
      <c r="Z327" s="2">
        <f t="shared" si="99"/>
        <v>287.79363793079938</v>
      </c>
      <c r="AA327" s="2">
        <f t="shared" si="99"/>
        <v>287.79363793079938</v>
      </c>
      <c r="AB327" s="2">
        <f t="shared" si="99"/>
        <v>0</v>
      </c>
      <c r="AC327" s="2">
        <f t="shared" si="99"/>
        <v>0</v>
      </c>
      <c r="AD327" s="2">
        <f t="shared" si="99"/>
        <v>0</v>
      </c>
      <c r="AE327" s="2">
        <f t="shared" si="99"/>
        <v>0</v>
      </c>
      <c r="AF327" s="2"/>
    </row>
    <row r="328" spans="1:33">
      <c r="A328" s="14"/>
      <c r="B328" t="s">
        <v>967</v>
      </c>
      <c r="D328" t="s">
        <v>744</v>
      </c>
      <c r="E328" s="30"/>
      <c r="F328" t="s">
        <v>618</v>
      </c>
      <c r="H328" s="2" t="s">
        <v>860</v>
      </c>
      <c r="I328" s="2"/>
      <c r="J328" s="2" t="s">
        <v>968</v>
      </c>
      <c r="K328" s="9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3">
      <c r="A329" s="20" t="s">
        <v>914</v>
      </c>
      <c r="B329" s="11"/>
      <c r="C329" s="11"/>
      <c r="D329" s="11"/>
      <c r="E329" s="27"/>
      <c r="F329" s="6"/>
      <c r="G329" s="19">
        <f>SUM(H329:AE329)/24</f>
        <v>2.5618512323568008</v>
      </c>
      <c r="H329" s="24">
        <f t="shared" ref="H329:AE329" si="100">$M$9*($F$9+273)^4*$F$10*$F$18</f>
        <v>2.5618512323567995</v>
      </c>
      <c r="I329" s="24">
        <f t="shared" si="100"/>
        <v>2.5618512323567995</v>
      </c>
      <c r="J329" s="24">
        <f t="shared" si="100"/>
        <v>2.5618512323567995</v>
      </c>
      <c r="K329" s="24">
        <f t="shared" si="100"/>
        <v>2.5618512323567995</v>
      </c>
      <c r="L329" s="24">
        <f t="shared" si="100"/>
        <v>2.5618512323567995</v>
      </c>
      <c r="M329" s="24">
        <f t="shared" si="100"/>
        <v>2.5618512323567995</v>
      </c>
      <c r="N329" s="24">
        <f t="shared" si="100"/>
        <v>2.5618512323567995</v>
      </c>
      <c r="O329" s="24">
        <f t="shared" si="100"/>
        <v>2.5618512323567995</v>
      </c>
      <c r="P329" s="24">
        <f t="shared" si="100"/>
        <v>2.5618512323567995</v>
      </c>
      <c r="Q329" s="24">
        <f t="shared" si="100"/>
        <v>2.5618512323567995</v>
      </c>
      <c r="R329" s="24">
        <f t="shared" si="100"/>
        <v>2.5618512323567995</v>
      </c>
      <c r="S329" s="24">
        <f t="shared" si="100"/>
        <v>2.5618512323567995</v>
      </c>
      <c r="T329" s="24">
        <f t="shared" si="100"/>
        <v>2.5618512323567995</v>
      </c>
      <c r="U329" s="24">
        <f t="shared" si="100"/>
        <v>2.5618512323567995</v>
      </c>
      <c r="V329" s="24">
        <f t="shared" si="100"/>
        <v>2.5618512323567995</v>
      </c>
      <c r="W329" s="24">
        <f t="shared" si="100"/>
        <v>2.5618512323567995</v>
      </c>
      <c r="X329" s="24">
        <f t="shared" si="100"/>
        <v>2.5618512323567995</v>
      </c>
      <c r="Y329" s="24">
        <f t="shared" si="100"/>
        <v>2.5618512323567995</v>
      </c>
      <c r="Z329" s="24">
        <f t="shared" si="100"/>
        <v>2.5618512323567995</v>
      </c>
      <c r="AA329" s="24">
        <f t="shared" si="100"/>
        <v>2.5618512323567995</v>
      </c>
      <c r="AB329" s="24">
        <f t="shared" si="100"/>
        <v>2.5618512323567995</v>
      </c>
      <c r="AC329" s="24">
        <f t="shared" si="100"/>
        <v>2.5618512323567995</v>
      </c>
      <c r="AD329" s="24">
        <f t="shared" si="100"/>
        <v>2.5618512323567995</v>
      </c>
      <c r="AE329" s="24">
        <f t="shared" si="100"/>
        <v>2.5618512323567995</v>
      </c>
      <c r="AF329" s="28"/>
      <c r="AG329" s="11"/>
    </row>
    <row r="330" spans="1:33">
      <c r="A330" s="20"/>
      <c r="B330" s="5" t="s">
        <v>923</v>
      </c>
      <c r="C330" s="11"/>
      <c r="D330" t="s">
        <v>743</v>
      </c>
      <c r="E330" s="27"/>
      <c r="F330" s="6"/>
      <c r="G330" s="28"/>
      <c r="H330" t="s">
        <v>717</v>
      </c>
      <c r="I330" s="29"/>
      <c r="J330" s="11"/>
      <c r="K330" s="2" t="s">
        <v>719</v>
      </c>
      <c r="L330" s="11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11"/>
    </row>
    <row r="331" spans="1:33">
      <c r="A331" s="20"/>
      <c r="B331" s="27" t="s">
        <v>925</v>
      </c>
      <c r="C331" s="11" t="s">
        <v>924</v>
      </c>
      <c r="E331" s="27"/>
      <c r="F331" s="6"/>
      <c r="G331" s="28"/>
      <c r="I331" s="29"/>
      <c r="J331" s="11"/>
      <c r="K331" s="2"/>
      <c r="L331" s="11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11"/>
    </row>
    <row r="332" spans="1:33">
      <c r="A332" s="20"/>
      <c r="B332" s="14"/>
      <c r="C332" t="s">
        <v>926</v>
      </c>
      <c r="E332" s="27"/>
      <c r="F332" s="6"/>
      <c r="G332" s="28"/>
      <c r="I332" s="29"/>
      <c r="J332" s="11"/>
      <c r="K332" s="2"/>
      <c r="L332" s="11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11"/>
    </row>
    <row r="333" spans="1:33">
      <c r="A333" s="3"/>
      <c r="B333" s="16" t="s">
        <v>741</v>
      </c>
      <c r="E333" s="12"/>
      <c r="F333" s="6"/>
      <c r="G333" s="32">
        <f>G304+G310+G315+G321+G323+G325+G327+G329</f>
        <v>487.29233465333112</v>
      </c>
      <c r="H333" s="2"/>
      <c r="I333" s="29"/>
      <c r="K333" s="10"/>
      <c r="L333" s="3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3">
      <c r="A334" s="20"/>
      <c r="B334" s="16" t="s">
        <v>725</v>
      </c>
      <c r="E334" s="30"/>
      <c r="F334" s="6"/>
      <c r="G334" s="32">
        <f>G301-G333</f>
        <v>3.321871259387251</v>
      </c>
      <c r="H334" s="33"/>
      <c r="I334" s="8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3">
      <c r="A335" s="39" t="s">
        <v>507</v>
      </c>
      <c r="B335" s="16"/>
      <c r="E335" s="30"/>
      <c r="F335" s="6"/>
      <c r="G335" s="32"/>
      <c r="H335" s="3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3">
      <c r="A336" s="3" t="s">
        <v>977</v>
      </c>
      <c r="E336" s="12"/>
      <c r="F336" s="6"/>
      <c r="G336" s="87" t="s">
        <v>535</v>
      </c>
      <c r="H336" s="21"/>
      <c r="I336" s="2"/>
      <c r="J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3">
      <c r="A337" s="20" t="s">
        <v>935</v>
      </c>
      <c r="B337" s="11"/>
      <c r="C337" s="11"/>
      <c r="E337" s="14" t="s">
        <v>563</v>
      </c>
      <c r="F337" s="31">
        <f>$F$15</f>
        <v>0.7</v>
      </c>
      <c r="G337" s="19">
        <f>SUM(H337:AE337)/48</f>
        <v>196.19108822111602</v>
      </c>
      <c r="H337" s="2">
        <f>H$64*$F$15</f>
        <v>40.571399716248429</v>
      </c>
      <c r="I337" s="2">
        <f t="shared" ref="I337:AE337" si="101">I$64*$F$15</f>
        <v>120.42843561905099</v>
      </c>
      <c r="J337" s="2">
        <f t="shared" si="101"/>
        <v>198.29720461444057</v>
      </c>
      <c r="K337" s="2">
        <f t="shared" si="101"/>
        <v>272.57484484730224</v>
      </c>
      <c r="L337" s="2">
        <f t="shared" si="101"/>
        <v>342.29853625761945</v>
      </c>
      <c r="M337" s="2">
        <f t="shared" si="101"/>
        <v>406.21888198654005</v>
      </c>
      <c r="N337" s="2">
        <f t="shared" si="101"/>
        <v>463.0376470623201</v>
      </c>
      <c r="O337" s="2">
        <f t="shared" si="101"/>
        <v>512.02740658883533</v>
      </c>
      <c r="P337" s="2">
        <f t="shared" si="101"/>
        <v>552.27023234662875</v>
      </c>
      <c r="Q337" s="2">
        <f t="shared" si="101"/>
        <v>582.92122669687183</v>
      </c>
      <c r="R337" s="2">
        <f t="shared" si="101"/>
        <v>603.7528592428398</v>
      </c>
      <c r="S337" s="2">
        <f t="shared" si="101"/>
        <v>614.18744232808569</v>
      </c>
      <c r="T337" s="2">
        <f t="shared" si="101"/>
        <v>614.18744232808569</v>
      </c>
      <c r="U337" s="2">
        <f t="shared" si="101"/>
        <v>603.7528592428398</v>
      </c>
      <c r="V337" s="2">
        <f t="shared" si="101"/>
        <v>582.92122669687183</v>
      </c>
      <c r="W337" s="2">
        <f t="shared" si="101"/>
        <v>552.27023234662875</v>
      </c>
      <c r="X337" s="2">
        <f t="shared" si="101"/>
        <v>512.02740658883533</v>
      </c>
      <c r="Y337" s="2">
        <f t="shared" si="101"/>
        <v>463.0376470623201</v>
      </c>
      <c r="Z337" s="2">
        <f t="shared" si="101"/>
        <v>406.21888198654005</v>
      </c>
      <c r="AA337" s="2">
        <f t="shared" si="101"/>
        <v>342.29853625761945</v>
      </c>
      <c r="AB337" s="2">
        <f t="shared" si="101"/>
        <v>272.57484484730224</v>
      </c>
      <c r="AC337" s="2">
        <f t="shared" si="101"/>
        <v>198.29720461444057</v>
      </c>
      <c r="AD337" s="2">
        <f t="shared" si="101"/>
        <v>120.42843561905099</v>
      </c>
      <c r="AE337" s="2">
        <f t="shared" si="101"/>
        <v>40.571399716248429</v>
      </c>
      <c r="AF337" s="28"/>
      <c r="AG337" s="11"/>
    </row>
    <row r="338" spans="1:33">
      <c r="A338" s="3"/>
      <c r="B338" s="5" t="s">
        <v>943</v>
      </c>
      <c r="C338" s="11"/>
      <c r="D338" t="s">
        <v>974</v>
      </c>
      <c r="F338" s="27"/>
      <c r="G338" s="2"/>
      <c r="H338" s="2" t="s">
        <v>1019</v>
      </c>
      <c r="I338" s="2"/>
      <c r="J338" s="2"/>
      <c r="K338" s="2"/>
      <c r="M338" s="2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11"/>
    </row>
    <row r="339" spans="1:33">
      <c r="A339" s="20" t="s">
        <v>936</v>
      </c>
      <c r="B339" s="11"/>
      <c r="C339" s="11"/>
      <c r="D339" s="24" t="s">
        <v>1015</v>
      </c>
      <c r="E339" s="27"/>
      <c r="F339" s="6"/>
      <c r="G339" s="25">
        <f t="shared" ref="G339:AE339" si="102">$M$9*($F$7+273)^4</f>
        <v>294.04515763199998</v>
      </c>
      <c r="H339" s="24">
        <f t="shared" si="102"/>
        <v>294.04515763199998</v>
      </c>
      <c r="I339" s="24">
        <f t="shared" si="102"/>
        <v>294.04515763199998</v>
      </c>
      <c r="J339" s="24">
        <f t="shared" si="102"/>
        <v>294.04515763199998</v>
      </c>
      <c r="K339" s="24">
        <f t="shared" si="102"/>
        <v>294.04515763199998</v>
      </c>
      <c r="L339" s="24">
        <f t="shared" si="102"/>
        <v>294.04515763199998</v>
      </c>
      <c r="M339" s="24">
        <f t="shared" si="102"/>
        <v>294.04515763199998</v>
      </c>
      <c r="N339" s="24">
        <f t="shared" si="102"/>
        <v>294.04515763199998</v>
      </c>
      <c r="O339" s="24">
        <f t="shared" si="102"/>
        <v>294.04515763199998</v>
      </c>
      <c r="P339" s="24">
        <f t="shared" si="102"/>
        <v>294.04515763199998</v>
      </c>
      <c r="Q339" s="24">
        <f t="shared" si="102"/>
        <v>294.04515763199998</v>
      </c>
      <c r="R339" s="24">
        <f t="shared" si="102"/>
        <v>294.04515763199998</v>
      </c>
      <c r="S339" s="24">
        <f t="shared" si="102"/>
        <v>294.04515763199998</v>
      </c>
      <c r="T339" s="24">
        <f t="shared" si="102"/>
        <v>294.04515763199998</v>
      </c>
      <c r="U339" s="24">
        <f t="shared" si="102"/>
        <v>294.04515763199998</v>
      </c>
      <c r="V339" s="24">
        <f t="shared" si="102"/>
        <v>294.04515763199998</v>
      </c>
      <c r="W339" s="24">
        <f t="shared" si="102"/>
        <v>294.04515763199998</v>
      </c>
      <c r="X339" s="24">
        <f t="shared" si="102"/>
        <v>294.04515763199998</v>
      </c>
      <c r="Y339" s="24">
        <f t="shared" si="102"/>
        <v>294.04515763199998</v>
      </c>
      <c r="Z339" s="24">
        <f t="shared" si="102"/>
        <v>294.04515763199998</v>
      </c>
      <c r="AA339" s="24">
        <f t="shared" si="102"/>
        <v>294.04515763199998</v>
      </c>
      <c r="AB339" s="24">
        <f t="shared" si="102"/>
        <v>294.04515763199998</v>
      </c>
      <c r="AC339" s="24">
        <f t="shared" si="102"/>
        <v>294.04515763199998</v>
      </c>
      <c r="AD339" s="24">
        <f t="shared" si="102"/>
        <v>294.04515763199998</v>
      </c>
      <c r="AE339" s="24">
        <f t="shared" si="102"/>
        <v>294.04515763199998</v>
      </c>
      <c r="AF339" s="28"/>
      <c r="AG339" s="11"/>
    </row>
    <row r="340" spans="1:33">
      <c r="A340" s="20"/>
      <c r="B340" s="16" t="s">
        <v>729</v>
      </c>
      <c r="C340" s="11"/>
      <c r="D340" s="11"/>
      <c r="E340" s="21"/>
      <c r="F340" s="21"/>
      <c r="G340" s="82">
        <f>G337+G339</f>
        <v>490.23624585311597</v>
      </c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8"/>
      <c r="AG340" s="11"/>
    </row>
    <row r="341" spans="1:33">
      <c r="A341" s="39" t="s">
        <v>507</v>
      </c>
      <c r="B341" s="16"/>
      <c r="C341" s="11"/>
      <c r="D341" s="11"/>
      <c r="E341" s="21"/>
      <c r="F341" s="21"/>
      <c r="G341" s="82"/>
      <c r="H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8"/>
      <c r="AG341" s="11"/>
    </row>
    <row r="342" spans="1:33">
      <c r="A342" s="3" t="s">
        <v>728</v>
      </c>
      <c r="B342" s="16"/>
      <c r="C342" s="11"/>
      <c r="D342" s="11"/>
      <c r="E342" s="21"/>
      <c r="F342" s="21"/>
      <c r="G342" s="82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8"/>
      <c r="AG342" s="11"/>
    </row>
    <row r="343" spans="1:33">
      <c r="A343" s="3" t="s">
        <v>877</v>
      </c>
      <c r="G343" s="19">
        <f>SUM(H343:AE343)/48</f>
        <v>3.386171590177542</v>
      </c>
      <c r="H343" s="24">
        <f>H$64*H$262*$F$16</f>
        <v>6.1205604739030086</v>
      </c>
      <c r="I343" s="24">
        <f t="shared" ref="I343:AE343" si="103">I$64*I$262*$F$16</f>
        <v>6.6137596652716342</v>
      </c>
      <c r="J343" s="24">
        <f t="shared" si="103"/>
        <v>6.8833051195011965</v>
      </c>
      <c r="K343" s="24">
        <f t="shared" si="103"/>
        <v>6.9322152472352876</v>
      </c>
      <c r="L343" s="24">
        <f t="shared" si="103"/>
        <v>6.7741276572798563</v>
      </c>
      <c r="M343" s="24">
        <f t="shared" si="103"/>
        <v>6.8015875498310194</v>
      </c>
      <c r="N343" s="24">
        <f t="shared" si="103"/>
        <v>6.8361476222137583</v>
      </c>
      <c r="O343" s="24">
        <f t="shared" si="103"/>
        <v>6.8549124276768367</v>
      </c>
      <c r="P343" s="24">
        <f t="shared" si="103"/>
        <v>6.8303932821228983</v>
      </c>
      <c r="Q343" s="24">
        <f t="shared" si="103"/>
        <v>6.8523926517434512</v>
      </c>
      <c r="R343" s="24">
        <f t="shared" si="103"/>
        <v>6.8809505115162981</v>
      </c>
      <c r="S343" s="24">
        <f t="shared" si="103"/>
        <v>6.8877659559657776</v>
      </c>
      <c r="T343" s="24">
        <f t="shared" si="103"/>
        <v>6.8877659559657776</v>
      </c>
      <c r="U343" s="24">
        <f t="shared" si="103"/>
        <v>6.8809505115162981</v>
      </c>
      <c r="V343" s="24">
        <f t="shared" si="103"/>
        <v>6.8523926517434512</v>
      </c>
      <c r="W343" s="24">
        <f t="shared" si="103"/>
        <v>6.8303932821228983</v>
      </c>
      <c r="X343" s="24">
        <f t="shared" si="103"/>
        <v>6.8549124276768367</v>
      </c>
      <c r="Y343" s="24">
        <f t="shared" si="103"/>
        <v>6.8361476222137583</v>
      </c>
      <c r="Z343" s="24">
        <f t="shared" si="103"/>
        <v>6.8015875498310194</v>
      </c>
      <c r="AA343" s="24">
        <f t="shared" si="103"/>
        <v>6.7741276572798563</v>
      </c>
      <c r="AB343" s="24">
        <f t="shared" si="103"/>
        <v>6.9322152472352876</v>
      </c>
      <c r="AC343" s="24">
        <f t="shared" si="103"/>
        <v>6.8833051195011965</v>
      </c>
      <c r="AD343" s="24">
        <f t="shared" si="103"/>
        <v>6.6137596652716342</v>
      </c>
      <c r="AE343" s="24">
        <f t="shared" si="103"/>
        <v>6.1205604739030086</v>
      </c>
      <c r="AF343" s="28"/>
      <c r="AG343" s="11"/>
    </row>
    <row r="344" spans="1:33">
      <c r="B344" s="5" t="s">
        <v>939</v>
      </c>
      <c r="D344" t="s">
        <v>769</v>
      </c>
      <c r="G344" t="s">
        <v>894</v>
      </c>
      <c r="J344" s="2"/>
      <c r="K344" s="2" t="s">
        <v>941</v>
      </c>
      <c r="L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3">
      <c r="A345" t="s">
        <v>879</v>
      </c>
      <c r="C345" s="11"/>
      <c r="G345" s="98">
        <f>SUM(H345:AE345)/48</f>
        <v>276.8190881510418</v>
      </c>
      <c r="H345" s="97">
        <f>H$64*(1-($F$16+$F$13)*H$262)</f>
        <v>51.716170768402407</v>
      </c>
      <c r="I345" s="97">
        <f t="shared" ref="I345:AE345" si="104">I$64*(1-($F$16+$F$13)*I$262)</f>
        <v>165.29458745435292</v>
      </c>
      <c r="J345" s="97">
        <f t="shared" si="104"/>
        <v>276.26074965588106</v>
      </c>
      <c r="K345" s="97">
        <f t="shared" si="104"/>
        <v>382.32177594396609</v>
      </c>
      <c r="L345" s="97">
        <f t="shared" si="104"/>
        <v>482.0882987290309</v>
      </c>
      <c r="M345" s="97">
        <f t="shared" si="104"/>
        <v>573.37506925137245</v>
      </c>
      <c r="N345" s="97">
        <f t="shared" si="104"/>
        <v>654.50948237151363</v>
      </c>
      <c r="O345" s="97">
        <f t="shared" si="104"/>
        <v>724.47571302210577</v>
      </c>
      <c r="P345" s="97">
        <f t="shared" si="104"/>
        <v>781.99047363313298</v>
      </c>
      <c r="Q345" s="97">
        <f t="shared" si="104"/>
        <v>825.75516906218149</v>
      </c>
      <c r="R345" s="97">
        <f t="shared" si="104"/>
        <v>855.48551511088158</v>
      </c>
      <c r="S345" s="97">
        <f t="shared" si="104"/>
        <v>870.38511062218015</v>
      </c>
      <c r="T345" s="97">
        <f t="shared" si="104"/>
        <v>870.38511062218015</v>
      </c>
      <c r="U345" s="97">
        <f t="shared" si="104"/>
        <v>855.48551511088158</v>
      </c>
      <c r="V345" s="97">
        <f t="shared" si="104"/>
        <v>825.75516906218149</v>
      </c>
      <c r="W345" s="97">
        <f t="shared" si="104"/>
        <v>781.99047363313298</v>
      </c>
      <c r="X345" s="97">
        <f t="shared" si="104"/>
        <v>724.47571302210577</v>
      </c>
      <c r="Y345" s="97">
        <f t="shared" si="104"/>
        <v>654.50948237151363</v>
      </c>
      <c r="Z345" s="97">
        <f t="shared" si="104"/>
        <v>573.37506925137245</v>
      </c>
      <c r="AA345" s="97">
        <f t="shared" si="104"/>
        <v>482.0882987290309</v>
      </c>
      <c r="AB345" s="97">
        <f t="shared" si="104"/>
        <v>382.32177594396609</v>
      </c>
      <c r="AC345" s="97">
        <f t="shared" si="104"/>
        <v>276.26074965588106</v>
      </c>
      <c r="AD345" s="97">
        <f t="shared" si="104"/>
        <v>165.29458745435292</v>
      </c>
      <c r="AE345" s="97">
        <f t="shared" si="104"/>
        <v>51.716170768402407</v>
      </c>
      <c r="AF345" s="28"/>
      <c r="AG345" s="11"/>
    </row>
    <row r="346" spans="1:33">
      <c r="B346" s="24" t="s">
        <v>951</v>
      </c>
      <c r="D346" s="2" t="s">
        <v>961</v>
      </c>
      <c r="E346" s="106" t="s">
        <v>970</v>
      </c>
      <c r="G346" t="s">
        <v>853</v>
      </c>
      <c r="I346" t="s">
        <v>960</v>
      </c>
      <c r="AF346" s="28"/>
      <c r="AG346" s="11"/>
    </row>
    <row r="347" spans="1:33">
      <c r="A347" t="s">
        <v>895</v>
      </c>
      <c r="C347" s="11"/>
      <c r="D347" s="24"/>
      <c r="G347" s="97">
        <f>SUM(H347:AE347)/48</f>
        <v>193.77336170572923</v>
      </c>
      <c r="H347" s="97">
        <f>H345*$F$15</f>
        <v>36.20131953788168</v>
      </c>
      <c r="I347" s="97">
        <f t="shared" ref="I347:AE347" si="105">I345*$F$15</f>
        <v>115.70621121804703</v>
      </c>
      <c r="J347" s="97">
        <f t="shared" si="105"/>
        <v>193.38252475911673</v>
      </c>
      <c r="K347" s="97">
        <f t="shared" si="105"/>
        <v>267.62524316077622</v>
      </c>
      <c r="L347" s="97">
        <f t="shared" si="105"/>
        <v>337.46180911032161</v>
      </c>
      <c r="M347" s="97">
        <f t="shared" si="105"/>
        <v>401.36254847596069</v>
      </c>
      <c r="N347" s="97">
        <f t="shared" si="105"/>
        <v>458.15663766005952</v>
      </c>
      <c r="O347" s="97">
        <f t="shared" si="105"/>
        <v>507.13299911547398</v>
      </c>
      <c r="P347" s="97">
        <f t="shared" si="105"/>
        <v>547.39333154319309</v>
      </c>
      <c r="Q347" s="97">
        <f t="shared" si="105"/>
        <v>578.028618343527</v>
      </c>
      <c r="R347" s="97">
        <f t="shared" si="105"/>
        <v>598.83986057761706</v>
      </c>
      <c r="S347" s="97">
        <f t="shared" si="105"/>
        <v>609.26957743552612</v>
      </c>
      <c r="T347" s="97">
        <f t="shared" si="105"/>
        <v>609.26957743552612</v>
      </c>
      <c r="U347" s="97">
        <f t="shared" si="105"/>
        <v>598.83986057761706</v>
      </c>
      <c r="V347" s="97">
        <f t="shared" si="105"/>
        <v>578.028618343527</v>
      </c>
      <c r="W347" s="97">
        <f t="shared" si="105"/>
        <v>547.39333154319309</v>
      </c>
      <c r="X347" s="97">
        <f t="shared" si="105"/>
        <v>507.13299911547398</v>
      </c>
      <c r="Y347" s="97">
        <f t="shared" si="105"/>
        <v>458.15663766005952</v>
      </c>
      <c r="Z347" s="97">
        <f t="shared" si="105"/>
        <v>401.36254847596069</v>
      </c>
      <c r="AA347" s="97">
        <f t="shared" si="105"/>
        <v>337.46180911032161</v>
      </c>
      <c r="AB347" s="97">
        <f t="shared" si="105"/>
        <v>267.62524316077622</v>
      </c>
      <c r="AC347" s="97">
        <f t="shared" si="105"/>
        <v>193.38252475911673</v>
      </c>
      <c r="AD347" s="97">
        <f t="shared" si="105"/>
        <v>115.70621121804703</v>
      </c>
      <c r="AE347" s="97">
        <f t="shared" si="105"/>
        <v>36.20131953788168</v>
      </c>
      <c r="AF347" s="28"/>
      <c r="AG347" s="11"/>
    </row>
    <row r="348" spans="1:33">
      <c r="B348" s="24" t="s">
        <v>938</v>
      </c>
      <c r="C348" s="14" t="s">
        <v>897</v>
      </c>
      <c r="D348" s="24" t="s">
        <v>978</v>
      </c>
      <c r="I348" s="24"/>
      <c r="AF348" s="28"/>
      <c r="AG348" s="11"/>
    </row>
    <row r="349" spans="1:33">
      <c r="A349" s="20" t="s">
        <v>896</v>
      </c>
      <c r="B349" s="11"/>
      <c r="C349" s="11"/>
      <c r="E349" s="14" t="s">
        <v>563</v>
      </c>
      <c r="F349" s="31">
        <f>$F$15</f>
        <v>0.7</v>
      </c>
      <c r="G349" s="19">
        <f>SUM(H349:AE349)/48</f>
        <v>191.67231444144636</v>
      </c>
      <c r="H349" s="2">
        <f>H347*(1-($F$16+$F$13)*$H$263)</f>
        <v>35.808795598012161</v>
      </c>
      <c r="I349" s="2">
        <f t="shared" ref="I349:AE349" si="106">I347*(1-($F$16+$F$13)*$H$263)</f>
        <v>114.45163104046104</v>
      </c>
      <c r="J349" s="2">
        <f t="shared" si="106"/>
        <v>191.28571526461934</v>
      </c>
      <c r="K349" s="2">
        <f t="shared" si="106"/>
        <v>264.72343416057993</v>
      </c>
      <c r="L349" s="2">
        <f t="shared" si="106"/>
        <v>333.80277566738675</v>
      </c>
      <c r="M349" s="2">
        <f t="shared" si="106"/>
        <v>397.01065161543329</v>
      </c>
      <c r="N349" s="2">
        <f t="shared" si="106"/>
        <v>453.18893342199948</v>
      </c>
      <c r="O349" s="2">
        <f t="shared" si="106"/>
        <v>501.63425361691969</v>
      </c>
      <c r="P349" s="2">
        <f t="shared" si="106"/>
        <v>541.45805100926668</v>
      </c>
      <c r="Q349" s="2">
        <f t="shared" si="106"/>
        <v>571.76116529137744</v>
      </c>
      <c r="R349" s="2">
        <f t="shared" si="106"/>
        <v>592.34675523158478</v>
      </c>
      <c r="S349" s="2">
        <f t="shared" si="106"/>
        <v>602.66338467707214</v>
      </c>
      <c r="T349" s="2">
        <f t="shared" si="106"/>
        <v>602.66338467707214</v>
      </c>
      <c r="U349" s="2">
        <f t="shared" si="106"/>
        <v>592.34675523158478</v>
      </c>
      <c r="V349" s="2">
        <f t="shared" si="106"/>
        <v>571.76116529137744</v>
      </c>
      <c r="W349" s="2">
        <f t="shared" si="106"/>
        <v>541.45805100926668</v>
      </c>
      <c r="X349" s="2">
        <f t="shared" si="106"/>
        <v>501.63425361691969</v>
      </c>
      <c r="Y349" s="2">
        <f t="shared" si="106"/>
        <v>453.18893342199948</v>
      </c>
      <c r="Z349" s="2">
        <f t="shared" si="106"/>
        <v>397.01065161543329</v>
      </c>
      <c r="AA349" s="2">
        <f t="shared" si="106"/>
        <v>333.80277566738675</v>
      </c>
      <c r="AB349" s="2">
        <f t="shared" si="106"/>
        <v>264.72343416057993</v>
      </c>
      <c r="AC349" s="2">
        <f t="shared" si="106"/>
        <v>191.28571526461934</v>
      </c>
      <c r="AD349" s="2">
        <f t="shared" si="106"/>
        <v>114.45163104046104</v>
      </c>
      <c r="AE349" s="2">
        <f t="shared" si="106"/>
        <v>35.808795598012161</v>
      </c>
      <c r="AF349" s="28"/>
      <c r="AG349" s="11"/>
    </row>
    <row r="350" spans="1:33">
      <c r="A350" s="3"/>
      <c r="B350" s="5" t="s">
        <v>1035</v>
      </c>
      <c r="C350" s="11"/>
      <c r="D350" t="s">
        <v>955</v>
      </c>
      <c r="F350" s="27"/>
      <c r="G350" s="2"/>
      <c r="H350" s="2" t="s">
        <v>898</v>
      </c>
      <c r="I350" s="2"/>
      <c r="J350" s="2" t="s">
        <v>899</v>
      </c>
      <c r="K350" s="2"/>
      <c r="L350" t="s">
        <v>1036</v>
      </c>
      <c r="M350" s="2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11"/>
    </row>
    <row r="351" spans="1:33">
      <c r="A351" t="s">
        <v>834</v>
      </c>
      <c r="B351" s="5"/>
      <c r="C351" s="11"/>
      <c r="D351" s="5" t="s">
        <v>952</v>
      </c>
      <c r="F351" t="s">
        <v>249</v>
      </c>
      <c r="G351" s="97">
        <f>SUM(H351:AE351)/48</f>
        <v>2.0598502591008199</v>
      </c>
      <c r="H351" s="97">
        <f t="shared" ref="H351:AE351" si="107">H347*$H263*$F$16</f>
        <v>0.38482739202894467</v>
      </c>
      <c r="I351" s="97">
        <f t="shared" si="107"/>
        <v>1.2299805662607832</v>
      </c>
      <c r="J351" s="97">
        <f t="shared" si="107"/>
        <v>2.055695582840579</v>
      </c>
      <c r="K351" s="97">
        <f t="shared" si="107"/>
        <v>2.8449107845061747</v>
      </c>
      <c r="L351" s="97">
        <f t="shared" si="107"/>
        <v>3.5872876891518315</v>
      </c>
      <c r="M351" s="97">
        <f t="shared" si="107"/>
        <v>4.266565549536673</v>
      </c>
      <c r="N351" s="97">
        <f t="shared" si="107"/>
        <v>4.8702982726078758</v>
      </c>
      <c r="O351" s="97">
        <f t="shared" si="107"/>
        <v>5.3909269593669809</v>
      </c>
      <c r="P351" s="97">
        <f t="shared" si="107"/>
        <v>5.8189024842415664</v>
      </c>
      <c r="Q351" s="97">
        <f t="shared" si="107"/>
        <v>6.1445618158329109</v>
      </c>
      <c r="R351" s="97">
        <f t="shared" si="107"/>
        <v>6.3657895549336097</v>
      </c>
      <c r="S351" s="97">
        <f t="shared" si="107"/>
        <v>6.476659567111744</v>
      </c>
      <c r="T351" s="97">
        <f t="shared" si="107"/>
        <v>6.476659567111744</v>
      </c>
      <c r="U351" s="97">
        <f t="shared" si="107"/>
        <v>6.3657895549336097</v>
      </c>
      <c r="V351" s="97">
        <f t="shared" si="107"/>
        <v>6.1445618158329109</v>
      </c>
      <c r="W351" s="97">
        <f t="shared" si="107"/>
        <v>5.8189024842415664</v>
      </c>
      <c r="X351" s="97">
        <f t="shared" si="107"/>
        <v>5.3909269593669809</v>
      </c>
      <c r="Y351" s="97">
        <f t="shared" si="107"/>
        <v>4.8702982726078758</v>
      </c>
      <c r="Z351" s="97">
        <f t="shared" si="107"/>
        <v>4.266565549536673</v>
      </c>
      <c r="AA351" s="97">
        <f t="shared" si="107"/>
        <v>3.5872876891518315</v>
      </c>
      <c r="AB351" s="97">
        <f t="shared" si="107"/>
        <v>2.8449107845061747</v>
      </c>
      <c r="AC351" s="97">
        <f t="shared" si="107"/>
        <v>2.055695582840579</v>
      </c>
      <c r="AD351" s="97">
        <f t="shared" si="107"/>
        <v>1.2299805662607832</v>
      </c>
      <c r="AE351" s="97">
        <f t="shared" si="107"/>
        <v>0.38482739202894467</v>
      </c>
      <c r="AF351" s="28"/>
      <c r="AG351" s="11"/>
    </row>
    <row r="352" spans="1:33">
      <c r="A352" t="s">
        <v>930</v>
      </c>
      <c r="B352" s="5"/>
      <c r="C352" s="11"/>
      <c r="D352" s="5" t="s">
        <v>250</v>
      </c>
      <c r="G352" s="97">
        <f>SUM(H352:AE352)/48</f>
        <v>1.441895181370574</v>
      </c>
      <c r="H352" s="97">
        <f>H351*$F$15</f>
        <v>0.26937917442026127</v>
      </c>
      <c r="I352" s="97">
        <f t="shared" ref="I352:AE352" si="108">I351*$F$15</f>
        <v>0.86098639638254826</v>
      </c>
      <c r="J352" s="97">
        <f t="shared" si="108"/>
        <v>1.4389869079884052</v>
      </c>
      <c r="K352" s="97">
        <f t="shared" si="108"/>
        <v>1.9914375491543221</v>
      </c>
      <c r="L352" s="97">
        <f t="shared" si="108"/>
        <v>2.5111013824062818</v>
      </c>
      <c r="M352" s="97">
        <f t="shared" si="108"/>
        <v>2.9865958846756708</v>
      </c>
      <c r="N352" s="97">
        <f t="shared" si="108"/>
        <v>3.4092087908255131</v>
      </c>
      <c r="O352" s="97">
        <f t="shared" si="108"/>
        <v>3.7736488715568863</v>
      </c>
      <c r="P352" s="97">
        <f t="shared" si="108"/>
        <v>4.0732317389690964</v>
      </c>
      <c r="Q352" s="97">
        <f t="shared" si="108"/>
        <v>4.3011932710830374</v>
      </c>
      <c r="R352" s="97">
        <f t="shared" si="108"/>
        <v>4.4560526884535268</v>
      </c>
      <c r="S352" s="97">
        <f t="shared" si="108"/>
        <v>4.5336616969782204</v>
      </c>
      <c r="T352" s="97">
        <f t="shared" si="108"/>
        <v>4.5336616969782204</v>
      </c>
      <c r="U352" s="97">
        <f t="shared" si="108"/>
        <v>4.4560526884535268</v>
      </c>
      <c r="V352" s="97">
        <f t="shared" si="108"/>
        <v>4.3011932710830374</v>
      </c>
      <c r="W352" s="97">
        <f t="shared" si="108"/>
        <v>4.0732317389690964</v>
      </c>
      <c r="X352" s="97">
        <f t="shared" si="108"/>
        <v>3.7736488715568863</v>
      </c>
      <c r="Y352" s="97">
        <f t="shared" si="108"/>
        <v>3.4092087908255131</v>
      </c>
      <c r="Z352" s="97">
        <f t="shared" si="108"/>
        <v>2.9865958846756708</v>
      </c>
      <c r="AA352" s="97">
        <f t="shared" si="108"/>
        <v>2.5111013824062818</v>
      </c>
      <c r="AB352" s="97">
        <f t="shared" si="108"/>
        <v>1.9914375491543221</v>
      </c>
      <c r="AC352" s="97">
        <f t="shared" si="108"/>
        <v>1.4389869079884052</v>
      </c>
      <c r="AD352" s="97">
        <f t="shared" si="108"/>
        <v>0.86098639638254826</v>
      </c>
      <c r="AE352" s="97">
        <f t="shared" si="108"/>
        <v>0.26937917442026127</v>
      </c>
      <c r="AF352" s="28"/>
      <c r="AG352" s="11"/>
    </row>
    <row r="353" spans="1:33">
      <c r="A353" s="20" t="s">
        <v>835</v>
      </c>
      <c r="B353" s="5"/>
      <c r="C353" s="11"/>
      <c r="G353" s="19">
        <f>SUM(H353:AE353)/48</f>
        <v>1.4262609894489724</v>
      </c>
      <c r="H353" s="24">
        <f>H352*(1-($F$16+$F$13)*$H$263)</f>
        <v>0.26645834788100781</v>
      </c>
      <c r="I353" s="24">
        <f t="shared" ref="I353:AE353" si="109">I352*(1-($F$16+$F$13)*$H$263)</f>
        <v>0.85165088660566024</v>
      </c>
      <c r="J353" s="24">
        <f t="shared" si="109"/>
        <v>1.4233842499153144</v>
      </c>
      <c r="K353" s="24">
        <f t="shared" si="109"/>
        <v>1.9698447751124757</v>
      </c>
      <c r="L353" s="24">
        <f t="shared" si="109"/>
        <v>2.4838739934432219</v>
      </c>
      <c r="M353" s="24">
        <f t="shared" si="109"/>
        <v>2.9542128003457124</v>
      </c>
      <c r="N353" s="24">
        <f t="shared" si="109"/>
        <v>3.37224339609695</v>
      </c>
      <c r="O353" s="24">
        <f t="shared" si="109"/>
        <v>3.7327319231788669</v>
      </c>
      <c r="P353" s="24">
        <f t="shared" si="109"/>
        <v>4.0290664712221931</v>
      </c>
      <c r="Q353" s="24">
        <f t="shared" si="109"/>
        <v>4.2545562603205127</v>
      </c>
      <c r="R353" s="24">
        <f t="shared" si="109"/>
        <v>4.4077365668351511</v>
      </c>
      <c r="S353" s="24">
        <f t="shared" si="109"/>
        <v>4.4845040758182719</v>
      </c>
      <c r="T353" s="24">
        <f t="shared" si="109"/>
        <v>4.4845040758182719</v>
      </c>
      <c r="U353" s="24">
        <f t="shared" si="109"/>
        <v>4.4077365668351511</v>
      </c>
      <c r="V353" s="24">
        <f t="shared" si="109"/>
        <v>4.2545562603205127</v>
      </c>
      <c r="W353" s="24">
        <f t="shared" si="109"/>
        <v>4.0290664712221931</v>
      </c>
      <c r="X353" s="24">
        <f t="shared" si="109"/>
        <v>3.7327319231788669</v>
      </c>
      <c r="Y353" s="24">
        <f t="shared" si="109"/>
        <v>3.37224339609695</v>
      </c>
      <c r="Z353" s="24">
        <f t="shared" si="109"/>
        <v>2.9542128003457124</v>
      </c>
      <c r="AA353" s="24">
        <f t="shared" si="109"/>
        <v>2.4838739934432219</v>
      </c>
      <c r="AB353" s="24">
        <f t="shared" si="109"/>
        <v>1.9698447751124757</v>
      </c>
      <c r="AC353" s="24">
        <f t="shared" si="109"/>
        <v>1.4233842499153144</v>
      </c>
      <c r="AD353" s="24">
        <f t="shared" si="109"/>
        <v>0.85165088660566024</v>
      </c>
      <c r="AE353" s="24">
        <f t="shared" si="109"/>
        <v>0.26645834788100781</v>
      </c>
      <c r="AF353" s="28"/>
      <c r="AG353" s="11"/>
    </row>
    <row r="354" spans="1:33">
      <c r="A354" s="20"/>
      <c r="B354" s="24" t="s">
        <v>979</v>
      </c>
      <c r="C354" s="11"/>
      <c r="D354" t="s">
        <v>955</v>
      </c>
      <c r="G354" s="27"/>
      <c r="H354" s="24" t="s">
        <v>900</v>
      </c>
      <c r="K354" t="s">
        <v>853</v>
      </c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8"/>
      <c r="AG354" s="11"/>
    </row>
    <row r="355" spans="1:33">
      <c r="A355" s="100" t="s">
        <v>836</v>
      </c>
      <c r="B355" s="5"/>
      <c r="C355" s="11"/>
      <c r="G355" s="19">
        <f>SUM(H355:AE355)/48</f>
        <v>1.0613011148490054E-2</v>
      </c>
      <c r="H355" s="2">
        <f>H353^2/H349</f>
        <v>1.9827545151900497E-3</v>
      </c>
      <c r="I355" s="2">
        <f t="shared" ref="I355:AE355" si="110">I353^2/I349</f>
        <v>6.3372555381040856E-3</v>
      </c>
      <c r="J355" s="2">
        <f t="shared" si="110"/>
        <v>1.0591604919919079E-2</v>
      </c>
      <c r="K355" s="2">
        <f t="shared" si="110"/>
        <v>1.4657895514018438E-2</v>
      </c>
      <c r="L355" s="2">
        <f t="shared" si="110"/>
        <v>1.8482860134905597E-2</v>
      </c>
      <c r="M355" s="2">
        <f t="shared" si="110"/>
        <v>2.1982718182030739E-2</v>
      </c>
      <c r="N355" s="2">
        <f t="shared" si="110"/>
        <v>2.5093343380320616E-2</v>
      </c>
      <c r="O355" s="2">
        <f t="shared" si="110"/>
        <v>2.7775789850584966E-2</v>
      </c>
      <c r="P355" s="2">
        <f t="shared" si="110"/>
        <v>2.9980857426107479E-2</v>
      </c>
      <c r="Q355" s="2">
        <f t="shared" si="110"/>
        <v>3.1658759060713429E-2</v>
      </c>
      <c r="R355" s="2">
        <f t="shared" si="110"/>
        <v>3.2798595537203656E-2</v>
      </c>
      <c r="S355" s="2">
        <f t="shared" si="110"/>
        <v>3.3369833504663209E-2</v>
      </c>
      <c r="T355" s="2">
        <f t="shared" si="110"/>
        <v>3.3369833504663209E-2</v>
      </c>
      <c r="U355" s="2">
        <f t="shared" si="110"/>
        <v>3.2798595537203656E-2</v>
      </c>
      <c r="V355" s="2">
        <f t="shared" si="110"/>
        <v>3.1658759060713429E-2</v>
      </c>
      <c r="W355" s="2">
        <f t="shared" si="110"/>
        <v>2.9980857426107479E-2</v>
      </c>
      <c r="X355" s="2">
        <f t="shared" si="110"/>
        <v>2.7775789850584966E-2</v>
      </c>
      <c r="Y355" s="2">
        <f t="shared" si="110"/>
        <v>2.5093343380320616E-2</v>
      </c>
      <c r="Z355" s="2">
        <f t="shared" si="110"/>
        <v>2.1982718182030739E-2</v>
      </c>
      <c r="AA355" s="2">
        <f t="shared" si="110"/>
        <v>1.8482860134905597E-2</v>
      </c>
      <c r="AB355" s="2">
        <f t="shared" si="110"/>
        <v>1.4657895514018438E-2</v>
      </c>
      <c r="AC355" s="2">
        <f t="shared" si="110"/>
        <v>1.0591604919919079E-2</v>
      </c>
      <c r="AD355" s="2">
        <f t="shared" si="110"/>
        <v>6.3372555381040856E-3</v>
      </c>
      <c r="AE355" s="2">
        <f t="shared" si="110"/>
        <v>1.9827545151900497E-3</v>
      </c>
      <c r="AF355" s="28"/>
      <c r="AG355" s="11"/>
    </row>
    <row r="356" spans="1:33">
      <c r="A356" s="100"/>
      <c r="B356" s="24" t="s">
        <v>980</v>
      </c>
      <c r="C356" s="11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8"/>
      <c r="AG356" s="11"/>
    </row>
    <row r="357" spans="1:33">
      <c r="A357" s="20" t="s">
        <v>901</v>
      </c>
      <c r="B357" s="11"/>
      <c r="C357" s="11"/>
      <c r="D357" s="24"/>
      <c r="E357" s="27"/>
      <c r="F357" s="6"/>
      <c r="G357" s="19">
        <f t="shared" ref="G357:AE357" si="111">$M$9*($F$7+273)^4*(1-$H$263)</f>
        <v>287.79363793079938</v>
      </c>
      <c r="H357" s="2">
        <f t="shared" si="111"/>
        <v>287.79363793079938</v>
      </c>
      <c r="I357" s="2">
        <f t="shared" si="111"/>
        <v>287.79363793079938</v>
      </c>
      <c r="J357" s="2">
        <f t="shared" si="111"/>
        <v>287.79363793079938</v>
      </c>
      <c r="K357" s="2">
        <f t="shared" si="111"/>
        <v>287.79363793079938</v>
      </c>
      <c r="L357" s="2">
        <f t="shared" si="111"/>
        <v>287.79363793079938</v>
      </c>
      <c r="M357" s="2">
        <f t="shared" si="111"/>
        <v>287.79363793079938</v>
      </c>
      <c r="N357" s="2">
        <f t="shared" si="111"/>
        <v>287.79363793079938</v>
      </c>
      <c r="O357" s="2">
        <f t="shared" si="111"/>
        <v>287.79363793079938</v>
      </c>
      <c r="P357" s="2">
        <f t="shared" si="111"/>
        <v>287.79363793079938</v>
      </c>
      <c r="Q357" s="2">
        <f t="shared" si="111"/>
        <v>287.79363793079938</v>
      </c>
      <c r="R357" s="2">
        <f t="shared" si="111"/>
        <v>287.79363793079938</v>
      </c>
      <c r="S357" s="2">
        <f t="shared" si="111"/>
        <v>287.79363793079938</v>
      </c>
      <c r="T357" s="2">
        <f t="shared" si="111"/>
        <v>287.79363793079938</v>
      </c>
      <c r="U357" s="2">
        <f t="shared" si="111"/>
        <v>287.79363793079938</v>
      </c>
      <c r="V357" s="2">
        <f t="shared" si="111"/>
        <v>287.79363793079938</v>
      </c>
      <c r="W357" s="2">
        <f t="shared" si="111"/>
        <v>287.79363793079938</v>
      </c>
      <c r="X357" s="2">
        <f t="shared" si="111"/>
        <v>287.79363793079938</v>
      </c>
      <c r="Y357" s="2">
        <f t="shared" si="111"/>
        <v>287.79363793079938</v>
      </c>
      <c r="Z357" s="2">
        <f t="shared" si="111"/>
        <v>287.79363793079938</v>
      </c>
      <c r="AA357" s="2">
        <f t="shared" si="111"/>
        <v>287.79363793079938</v>
      </c>
      <c r="AB357" s="2">
        <f t="shared" si="111"/>
        <v>287.79363793079938</v>
      </c>
      <c r="AC357" s="2">
        <f t="shared" si="111"/>
        <v>287.79363793079938</v>
      </c>
      <c r="AD357" s="2">
        <f t="shared" si="111"/>
        <v>287.79363793079938</v>
      </c>
      <c r="AE357" s="2">
        <f t="shared" si="111"/>
        <v>287.79363793079938</v>
      </c>
      <c r="AF357" s="28"/>
      <c r="AG357" s="11"/>
    </row>
    <row r="358" spans="1:33">
      <c r="A358" s="14"/>
      <c r="B358" s="5" t="s">
        <v>1018</v>
      </c>
      <c r="E358" s="12"/>
      <c r="F358" s="6"/>
      <c r="G358" s="2"/>
      <c r="H358" s="2" t="s">
        <v>969</v>
      </c>
      <c r="J358" s="10"/>
      <c r="K358" s="9"/>
      <c r="AF358" s="2"/>
    </row>
    <row r="359" spans="1:33">
      <c r="A359" s="20" t="s">
        <v>914</v>
      </c>
      <c r="B359" s="11"/>
      <c r="C359" s="11"/>
      <c r="D359" s="11"/>
      <c r="E359" s="27"/>
      <c r="F359" s="6"/>
      <c r="G359" s="19">
        <f>SUM(H359:AE359)/24</f>
        <v>2.5618512323568008</v>
      </c>
      <c r="H359" s="24">
        <f t="shared" ref="H359:AE359" si="112">$M$9*($F$9+273)^4*$F$10*$F$18</f>
        <v>2.5618512323567995</v>
      </c>
      <c r="I359" s="24">
        <f t="shared" si="112"/>
        <v>2.5618512323567995</v>
      </c>
      <c r="J359" s="24">
        <f t="shared" si="112"/>
        <v>2.5618512323567995</v>
      </c>
      <c r="K359" s="24">
        <f t="shared" si="112"/>
        <v>2.5618512323567995</v>
      </c>
      <c r="L359" s="24">
        <f t="shared" si="112"/>
        <v>2.5618512323567995</v>
      </c>
      <c r="M359" s="24">
        <f t="shared" si="112"/>
        <v>2.5618512323567995</v>
      </c>
      <c r="N359" s="24">
        <f t="shared" si="112"/>
        <v>2.5618512323567995</v>
      </c>
      <c r="O359" s="24">
        <f t="shared" si="112"/>
        <v>2.5618512323567995</v>
      </c>
      <c r="P359" s="24">
        <f t="shared" si="112"/>
        <v>2.5618512323567995</v>
      </c>
      <c r="Q359" s="24">
        <f t="shared" si="112"/>
        <v>2.5618512323567995</v>
      </c>
      <c r="R359" s="24">
        <f t="shared" si="112"/>
        <v>2.5618512323567995</v>
      </c>
      <c r="S359" s="24">
        <f t="shared" si="112"/>
        <v>2.5618512323567995</v>
      </c>
      <c r="T359" s="24">
        <f t="shared" si="112"/>
        <v>2.5618512323567995</v>
      </c>
      <c r="U359" s="24">
        <f t="shared" si="112"/>
        <v>2.5618512323567995</v>
      </c>
      <c r="V359" s="24">
        <f t="shared" si="112"/>
        <v>2.5618512323567995</v>
      </c>
      <c r="W359" s="24">
        <f t="shared" si="112"/>
        <v>2.5618512323567995</v>
      </c>
      <c r="X359" s="24">
        <f t="shared" si="112"/>
        <v>2.5618512323567995</v>
      </c>
      <c r="Y359" s="24">
        <f t="shared" si="112"/>
        <v>2.5618512323567995</v>
      </c>
      <c r="Z359" s="24">
        <f t="shared" si="112"/>
        <v>2.5618512323567995</v>
      </c>
      <c r="AA359" s="24">
        <f t="shared" si="112"/>
        <v>2.5618512323567995</v>
      </c>
      <c r="AB359" s="24">
        <f t="shared" si="112"/>
        <v>2.5618512323567995</v>
      </c>
      <c r="AC359" s="24">
        <f t="shared" si="112"/>
        <v>2.5618512323567995</v>
      </c>
      <c r="AD359" s="24">
        <f t="shared" si="112"/>
        <v>2.5618512323567995</v>
      </c>
      <c r="AE359" s="24">
        <f t="shared" si="112"/>
        <v>2.5618512323567995</v>
      </c>
      <c r="AF359" s="28"/>
      <c r="AG359" s="11"/>
    </row>
    <row r="360" spans="1:33">
      <c r="A360" s="20"/>
      <c r="B360" s="5" t="s">
        <v>923</v>
      </c>
      <c r="C360" s="11"/>
      <c r="D360" t="s">
        <v>743</v>
      </c>
      <c r="E360" s="27"/>
      <c r="F360" s="6"/>
      <c r="G360" s="28"/>
      <c r="H360" t="s">
        <v>717</v>
      </c>
      <c r="I360" s="29"/>
      <c r="J360" s="11"/>
      <c r="K360" s="2" t="s">
        <v>719</v>
      </c>
      <c r="L360" s="11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11"/>
    </row>
    <row r="361" spans="1:33">
      <c r="A361" s="20"/>
      <c r="B361" s="27" t="s">
        <v>925</v>
      </c>
      <c r="C361" s="11" t="s">
        <v>924</v>
      </c>
      <c r="E361" s="27"/>
      <c r="F361" s="6"/>
      <c r="G361" s="28"/>
      <c r="I361" s="29"/>
      <c r="J361" s="11"/>
      <c r="K361" s="2"/>
      <c r="L361" s="11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11"/>
    </row>
    <row r="362" spans="1:33">
      <c r="A362" s="20"/>
      <c r="B362" s="14"/>
      <c r="C362" t="s">
        <v>926</v>
      </c>
      <c r="E362" s="27"/>
      <c r="F362" s="6"/>
      <c r="G362" s="28"/>
      <c r="I362" s="29"/>
      <c r="J362" s="11"/>
      <c r="K362" s="2"/>
      <c r="L362" s="11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11"/>
    </row>
    <row r="363" spans="1:33">
      <c r="A363" s="20"/>
      <c r="B363" s="16" t="s">
        <v>742</v>
      </c>
      <c r="C363" s="11"/>
      <c r="D363" s="11"/>
      <c r="E363" s="21"/>
      <c r="F363" s="21"/>
      <c r="G363" s="82">
        <f>G343+G349+G353+G355+G357+G359</f>
        <v>486.85084919537752</v>
      </c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8"/>
      <c r="AG363" s="11"/>
    </row>
    <row r="364" spans="1:33">
      <c r="A364" s="20"/>
      <c r="B364" s="16" t="s">
        <v>730</v>
      </c>
      <c r="C364" s="11"/>
      <c r="D364" s="11"/>
      <c r="E364" s="21"/>
      <c r="F364" s="21"/>
      <c r="G364" s="82">
        <f>G340-G363</f>
        <v>3.385396657738454</v>
      </c>
      <c r="H364" s="24"/>
      <c r="I364" s="32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8"/>
      <c r="AG364" s="11"/>
    </row>
    <row r="365" spans="1:33">
      <c r="A365" s="20"/>
      <c r="B365" s="16"/>
      <c r="G365" s="32"/>
      <c r="H365" s="33"/>
      <c r="I365" s="8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3">
      <c r="A366" s="20"/>
      <c r="B366" s="16"/>
      <c r="G366" s="32"/>
      <c r="H366" s="3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3" ht="18.75">
      <c r="A367" s="85" t="s">
        <v>508</v>
      </c>
      <c r="B367" s="30" t="s">
        <v>609</v>
      </c>
      <c r="H367" s="4" t="s">
        <v>484</v>
      </c>
      <c r="I367" s="4" t="s">
        <v>486</v>
      </c>
      <c r="J367" s="4" t="s">
        <v>485</v>
      </c>
      <c r="K367" s="4" t="s">
        <v>487</v>
      </c>
      <c r="L367" s="4" t="s">
        <v>488</v>
      </c>
      <c r="M367" s="4" t="s">
        <v>489</v>
      </c>
      <c r="N367" s="4" t="s">
        <v>490</v>
      </c>
      <c r="O367" s="4" t="s">
        <v>491</v>
      </c>
      <c r="P367" s="4" t="s">
        <v>494</v>
      </c>
      <c r="Q367" s="4" t="s">
        <v>492</v>
      </c>
      <c r="R367" s="4" t="s">
        <v>495</v>
      </c>
      <c r="S367" s="4" t="s">
        <v>493</v>
      </c>
      <c r="T367" s="4" t="s">
        <v>515</v>
      </c>
      <c r="U367" s="4" t="s">
        <v>517</v>
      </c>
      <c r="V367" s="4" t="s">
        <v>518</v>
      </c>
      <c r="W367" s="4" t="s">
        <v>516</v>
      </c>
      <c r="X367" s="4" t="s">
        <v>519</v>
      </c>
      <c r="Y367" s="4" t="s">
        <v>520</v>
      </c>
      <c r="Z367" s="4" t="s">
        <v>521</v>
      </c>
      <c r="AA367" s="4" t="s">
        <v>522</v>
      </c>
      <c r="AB367" s="4" t="s">
        <v>523</v>
      </c>
      <c r="AC367" s="4" t="s">
        <v>524</v>
      </c>
      <c r="AD367" s="4" t="s">
        <v>525</v>
      </c>
      <c r="AE367" s="4" t="s">
        <v>526</v>
      </c>
      <c r="AF367" s="2"/>
    </row>
    <row r="368" spans="1:33">
      <c r="A368" s="3" t="s">
        <v>722</v>
      </c>
      <c r="G368" t="s">
        <v>535</v>
      </c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2"/>
    </row>
    <row r="369" spans="1:33">
      <c r="A369" t="s">
        <v>561</v>
      </c>
      <c r="B369" s="11"/>
      <c r="C369" s="11"/>
      <c r="D369" s="5" t="s">
        <v>981</v>
      </c>
      <c r="E369" s="12"/>
      <c r="F369" s="6"/>
      <c r="G369" s="2">
        <f>SUM(H369:AE369)/48</f>
        <v>250.04350671045813</v>
      </c>
      <c r="H369" s="2">
        <f>H$65</f>
        <v>51.522479709800514</v>
      </c>
      <c r="I369" s="2">
        <f t="shared" ref="I369:AE369" si="113">I$65</f>
        <v>153.3263915887585</v>
      </c>
      <c r="J369" s="2">
        <f t="shared" si="113"/>
        <v>252.63397595571755</v>
      </c>
      <c r="K369" s="2">
        <f t="shared" si="113"/>
        <v>347.34864317680297</v>
      </c>
      <c r="L369" s="2">
        <f t="shared" si="113"/>
        <v>436.24349392443469</v>
      </c>
      <c r="M369" s="2">
        <f t="shared" si="113"/>
        <v>517.61265992077585</v>
      </c>
      <c r="N369" s="2">
        <f t="shared" si="113"/>
        <v>590.23085248800987</v>
      </c>
      <c r="O369" s="2">
        <f t="shared" si="113"/>
        <v>652.69533334091648</v>
      </c>
      <c r="P369" s="2">
        <f t="shared" si="113"/>
        <v>703.8525291259931</v>
      </c>
      <c r="Q369" s="2">
        <f t="shared" si="113"/>
        <v>743.120337188608</v>
      </c>
      <c r="R369" s="2">
        <f t="shared" si="113"/>
        <v>769.5515376026317</v>
      </c>
      <c r="S369" s="2">
        <f t="shared" si="113"/>
        <v>782.90592702854622</v>
      </c>
      <c r="T369" s="2">
        <f t="shared" si="113"/>
        <v>782.90592702854622</v>
      </c>
      <c r="U369" s="2">
        <f t="shared" si="113"/>
        <v>769.5515376026317</v>
      </c>
      <c r="V369" s="2">
        <f t="shared" si="113"/>
        <v>743.120337188608</v>
      </c>
      <c r="W369" s="2">
        <f t="shared" si="113"/>
        <v>703.8525291259931</v>
      </c>
      <c r="X369" s="2">
        <f t="shared" si="113"/>
        <v>652.69533334091648</v>
      </c>
      <c r="Y369" s="2">
        <f t="shared" si="113"/>
        <v>590.23085248800987</v>
      </c>
      <c r="Z369" s="2">
        <f t="shared" si="113"/>
        <v>517.61265992077585</v>
      </c>
      <c r="AA369" s="2">
        <f t="shared" si="113"/>
        <v>436.24349392443469</v>
      </c>
      <c r="AB369" s="2">
        <f t="shared" si="113"/>
        <v>347.34864317680297</v>
      </c>
      <c r="AC369" s="2">
        <f t="shared" si="113"/>
        <v>252.63397595571755</v>
      </c>
      <c r="AD369" s="2">
        <f t="shared" si="113"/>
        <v>153.3263915887585</v>
      </c>
      <c r="AE369" s="2">
        <f t="shared" si="113"/>
        <v>51.522479709800514</v>
      </c>
      <c r="AF369" s="2"/>
    </row>
    <row r="370" spans="1:33">
      <c r="A370" s="20" t="s">
        <v>1105</v>
      </c>
      <c r="B370" s="11"/>
      <c r="C370" s="11"/>
      <c r="D370" t="s">
        <v>982</v>
      </c>
      <c r="E370" s="12"/>
      <c r="F370" s="18"/>
      <c r="G370" s="19">
        <f>SUM(H370:AE370)/48</f>
        <v>25.004350671045817</v>
      </c>
      <c r="H370" s="2">
        <f>H$65*$Q$20</f>
        <v>5.1522479709800519</v>
      </c>
      <c r="I370" s="2">
        <f t="shared" ref="I370:AE370" si="114">I$65*$Q$20</f>
        <v>15.33263915887585</v>
      </c>
      <c r="J370" s="2">
        <f t="shared" si="114"/>
        <v>25.263397595571757</v>
      </c>
      <c r="K370" s="2">
        <f t="shared" si="114"/>
        <v>34.734864317680298</v>
      </c>
      <c r="L370" s="2">
        <f t="shared" si="114"/>
        <v>43.62434939244347</v>
      </c>
      <c r="M370" s="2">
        <f t="shared" si="114"/>
        <v>51.76126599207759</v>
      </c>
      <c r="N370" s="2">
        <f t="shared" si="114"/>
        <v>59.023085248800989</v>
      </c>
      <c r="O370" s="2">
        <f t="shared" si="114"/>
        <v>65.269533334091648</v>
      </c>
      <c r="P370" s="2">
        <f t="shared" si="114"/>
        <v>70.385252912599313</v>
      </c>
      <c r="Q370" s="2">
        <f t="shared" si="114"/>
        <v>74.312033718860803</v>
      </c>
      <c r="R370" s="2">
        <f t="shared" si="114"/>
        <v>76.955153760263173</v>
      </c>
      <c r="S370" s="2">
        <f t="shared" si="114"/>
        <v>78.290592702854624</v>
      </c>
      <c r="T370" s="2">
        <f t="shared" si="114"/>
        <v>78.290592702854624</v>
      </c>
      <c r="U370" s="2">
        <f t="shared" si="114"/>
        <v>76.955153760263173</v>
      </c>
      <c r="V370" s="2">
        <f t="shared" si="114"/>
        <v>74.312033718860803</v>
      </c>
      <c r="W370" s="2">
        <f t="shared" si="114"/>
        <v>70.385252912599313</v>
      </c>
      <c r="X370" s="2">
        <f t="shared" si="114"/>
        <v>65.269533334091648</v>
      </c>
      <c r="Y370" s="2">
        <f t="shared" si="114"/>
        <v>59.023085248800989</v>
      </c>
      <c r="Z370" s="2">
        <f t="shared" si="114"/>
        <v>51.76126599207759</v>
      </c>
      <c r="AA370" s="2">
        <f t="shared" si="114"/>
        <v>43.62434939244347</v>
      </c>
      <c r="AB370" s="2">
        <f t="shared" si="114"/>
        <v>34.734864317680298</v>
      </c>
      <c r="AC370" s="2">
        <f t="shared" si="114"/>
        <v>25.263397595571757</v>
      </c>
      <c r="AD370" s="2">
        <f t="shared" si="114"/>
        <v>15.33263915887585</v>
      </c>
      <c r="AE370" s="2">
        <f t="shared" si="114"/>
        <v>5.1522479709800519</v>
      </c>
      <c r="AF370" s="2"/>
    </row>
    <row r="371" spans="1:33">
      <c r="A371" s="20"/>
      <c r="B371" s="5" t="s">
        <v>984</v>
      </c>
      <c r="C371" s="11"/>
      <c r="D371" t="s">
        <v>770</v>
      </c>
      <c r="E371" s="12"/>
      <c r="F371" s="18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3">
      <c r="A372" s="20" t="s">
        <v>825</v>
      </c>
      <c r="D372" t="s">
        <v>983</v>
      </c>
      <c r="G372" s="19">
        <f>SUM(H372:AE372)/24</f>
        <v>340.45054939199986</v>
      </c>
      <c r="H372" s="2">
        <f>$Q$24</f>
        <v>340.45054939200003</v>
      </c>
      <c r="I372" s="2">
        <f t="shared" ref="I372:AE372" si="115">$Q$24</f>
        <v>340.45054939200003</v>
      </c>
      <c r="J372" s="2">
        <f t="shared" si="115"/>
        <v>340.45054939200003</v>
      </c>
      <c r="K372" s="2">
        <f t="shared" si="115"/>
        <v>340.45054939200003</v>
      </c>
      <c r="L372" s="2">
        <f t="shared" si="115"/>
        <v>340.45054939200003</v>
      </c>
      <c r="M372" s="2">
        <f t="shared" si="115"/>
        <v>340.45054939200003</v>
      </c>
      <c r="N372" s="2">
        <f t="shared" si="115"/>
        <v>340.45054939200003</v>
      </c>
      <c r="O372" s="2">
        <f t="shared" si="115"/>
        <v>340.45054939200003</v>
      </c>
      <c r="P372" s="2">
        <f t="shared" si="115"/>
        <v>340.45054939200003</v>
      </c>
      <c r="Q372" s="2">
        <f t="shared" si="115"/>
        <v>340.45054939200003</v>
      </c>
      <c r="R372" s="2">
        <f t="shared" si="115"/>
        <v>340.45054939200003</v>
      </c>
      <c r="S372" s="2">
        <f t="shared" si="115"/>
        <v>340.45054939200003</v>
      </c>
      <c r="T372" s="2">
        <f t="shared" si="115"/>
        <v>340.45054939200003</v>
      </c>
      <c r="U372" s="2">
        <f t="shared" si="115"/>
        <v>340.45054939200003</v>
      </c>
      <c r="V372" s="2">
        <f t="shared" si="115"/>
        <v>340.45054939200003</v>
      </c>
      <c r="W372" s="2">
        <f t="shared" si="115"/>
        <v>340.45054939200003</v>
      </c>
      <c r="X372" s="2">
        <f t="shared" si="115"/>
        <v>340.45054939200003</v>
      </c>
      <c r="Y372" s="2">
        <f t="shared" si="115"/>
        <v>340.45054939200003</v>
      </c>
      <c r="Z372" s="2">
        <f t="shared" si="115"/>
        <v>340.45054939200003</v>
      </c>
      <c r="AA372" s="2">
        <f t="shared" si="115"/>
        <v>340.45054939200003</v>
      </c>
      <c r="AB372" s="2">
        <f t="shared" si="115"/>
        <v>340.45054939200003</v>
      </c>
      <c r="AC372" s="2">
        <f t="shared" si="115"/>
        <v>340.45054939200003</v>
      </c>
      <c r="AD372" s="2">
        <f t="shared" si="115"/>
        <v>340.45054939200003</v>
      </c>
      <c r="AE372" s="2">
        <f t="shared" si="115"/>
        <v>340.45054939200003</v>
      </c>
      <c r="AF372" s="2"/>
    </row>
    <row r="373" spans="1:33">
      <c r="A373" s="20"/>
      <c r="B373" s="16" t="s">
        <v>720</v>
      </c>
      <c r="G373" s="32">
        <f>G370+G372</f>
        <v>365.45490006304567</v>
      </c>
      <c r="H373" s="3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3">
      <c r="A374" s="39" t="s">
        <v>508</v>
      </c>
      <c r="B374" s="16"/>
      <c r="G374" s="32"/>
      <c r="H374" s="3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3">
      <c r="A375" s="3" t="s">
        <v>723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3" s="27" customFormat="1">
      <c r="A376" s="27" t="s">
        <v>1031</v>
      </c>
      <c r="G376" s="55"/>
      <c r="H376" s="101">
        <f ca="1">Tabelle3!D$21</f>
        <v>0.23812541759095487</v>
      </c>
      <c r="I376" s="101">
        <f ca="1">Tabelle3!E$21</f>
        <v>8.7614860055535093E-2</v>
      </c>
      <c r="J376" s="101">
        <f ca="1">Tabelle3!F$21</f>
        <v>5.3375736719779389E-2</v>
      </c>
      <c r="K376" s="101">
        <f ca="1">Tabelle3!G$21</f>
        <v>3.8963558865852191E-2</v>
      </c>
      <c r="L376" s="101">
        <f ca="1">Tabelle3!H$21</f>
        <v>3.1824904233206448E-2</v>
      </c>
      <c r="M376" s="101">
        <f ca="1">Tabelle3!I$21</f>
        <v>2.6331303452976039E-2</v>
      </c>
      <c r="N376" s="101">
        <f ca="1">Tabelle3!J$21</f>
        <v>2.3107319236796861E-2</v>
      </c>
      <c r="O376" s="101">
        <f ca="1">Tabelle3!K$21</f>
        <v>2.0973943997841481E-2</v>
      </c>
      <c r="P376" s="101">
        <f ca="1">Tabelle3!L$21</f>
        <v>1.9412539962311331E-2</v>
      </c>
      <c r="Q376" s="101">
        <f ca="1">Tabelle3!M$21</f>
        <v>1.8457315241992119E-2</v>
      </c>
      <c r="R376" s="101">
        <f ca="1">Tabelle3!N$21</f>
        <v>1.7802444686309361E-2</v>
      </c>
      <c r="S376" s="101">
        <f ca="1">Tabelle3!O$21</f>
        <v>1.746762365032118E-2</v>
      </c>
      <c r="T376" s="101">
        <f ca="1">Tabelle3!P$21</f>
        <v>1.746762365032118E-2</v>
      </c>
      <c r="U376" s="101">
        <f ca="1">Tabelle3!Q$21</f>
        <v>1.7802444686309361E-2</v>
      </c>
      <c r="V376" s="101">
        <f ca="1">Tabelle3!R$21</f>
        <v>1.8457315241992119E-2</v>
      </c>
      <c r="W376" s="101">
        <f ca="1">Tabelle3!S$21</f>
        <v>1.9412539962311331E-2</v>
      </c>
      <c r="X376" s="101">
        <f ca="1">Tabelle3!T$21</f>
        <v>2.0973943997841481E-2</v>
      </c>
      <c r="Y376" s="101">
        <f ca="1">Tabelle3!U$21</f>
        <v>2.3107319236796861E-2</v>
      </c>
      <c r="Z376" s="101">
        <f ca="1">Tabelle3!V$21</f>
        <v>2.6331303452976039E-2</v>
      </c>
      <c r="AA376" s="101">
        <f ca="1">Tabelle3!W$21</f>
        <v>3.1824904233206448E-2</v>
      </c>
      <c r="AB376" s="101">
        <f ca="1">Tabelle3!X$21</f>
        <v>3.8963558865852191E-2</v>
      </c>
      <c r="AC376" s="101">
        <f ca="1">Tabelle3!Y$21</f>
        <v>5.3375736719779389E-2</v>
      </c>
      <c r="AD376" s="101">
        <f ca="1">Tabelle3!Z$21</f>
        <v>8.7614860055535093E-2</v>
      </c>
      <c r="AE376" s="101">
        <f ca="1">Tabelle3!AA$21</f>
        <v>0.23812541759095487</v>
      </c>
      <c r="AF376" s="55"/>
    </row>
    <row r="377" spans="1:33" s="27" customFormat="1">
      <c r="A377" s="27" t="s">
        <v>830</v>
      </c>
      <c r="F377" s="10">
        <f ca="1">Tabelle3!J$80</f>
        <v>2.1260406910099214</v>
      </c>
      <c r="H377" s="107">
        <f ca="1">$F$10*$F$142</f>
        <v>2.1260406910099214E-2</v>
      </c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55"/>
    </row>
    <row r="378" spans="1:33" ht="15" customHeight="1">
      <c r="A378" s="3" t="s">
        <v>831</v>
      </c>
      <c r="B378" s="11"/>
      <c r="C378" s="11"/>
      <c r="D378" s="11"/>
      <c r="E378" s="27"/>
      <c r="F378" s="6"/>
      <c r="G378" s="19">
        <f>SUM(H378:AE378)/48</f>
        <v>3.3816040460702035</v>
      </c>
      <c r="H378" s="24">
        <f t="shared" ref="H378:AE378" si="116">H$65*H$376*$F$16</f>
        <v>6.1344059981088739</v>
      </c>
      <c r="I378" s="24">
        <f t="shared" si="116"/>
        <v>6.7168351709346243</v>
      </c>
      <c r="J378" s="24">
        <f t="shared" si="116"/>
        <v>6.742262293541728</v>
      </c>
      <c r="K378" s="24">
        <f t="shared" si="116"/>
        <v>6.7669696526966252</v>
      </c>
      <c r="L378" s="24">
        <f t="shared" si="116"/>
        <v>6.9417037082522564</v>
      </c>
      <c r="M378" s="24">
        <f t="shared" si="116"/>
        <v>6.8147080097380188</v>
      </c>
      <c r="N378" s="24">
        <f t="shared" si="116"/>
        <v>6.8193263659236001</v>
      </c>
      <c r="O378" s="24">
        <f t="shared" si="116"/>
        <v>6.8447976845724297</v>
      </c>
      <c r="P378" s="24">
        <f t="shared" si="116"/>
        <v>6.8317826746161208</v>
      </c>
      <c r="Q378" s="24">
        <f t="shared" si="116"/>
        <v>6.8580031631128087</v>
      </c>
      <c r="R378" s="24">
        <f t="shared" si="116"/>
        <v>6.8499493407175844</v>
      </c>
      <c r="S378" s="24">
        <f t="shared" si="116"/>
        <v>6.8377530434702312</v>
      </c>
      <c r="T378" s="24">
        <f t="shared" si="116"/>
        <v>6.8377530434702312</v>
      </c>
      <c r="U378" s="24">
        <f t="shared" si="116"/>
        <v>6.8499493407175844</v>
      </c>
      <c r="V378" s="24">
        <f t="shared" si="116"/>
        <v>6.8580031631128087</v>
      </c>
      <c r="W378" s="24">
        <f t="shared" si="116"/>
        <v>6.8317826746161208</v>
      </c>
      <c r="X378" s="24">
        <f t="shared" si="116"/>
        <v>6.8447976845724297</v>
      </c>
      <c r="Y378" s="24">
        <f t="shared" si="116"/>
        <v>6.8193263659236001</v>
      </c>
      <c r="Z378" s="24">
        <f t="shared" si="116"/>
        <v>6.8147080097380188</v>
      </c>
      <c r="AA378" s="24">
        <f t="shared" si="116"/>
        <v>6.9417037082522564</v>
      </c>
      <c r="AB378" s="24">
        <f t="shared" si="116"/>
        <v>6.7669696526966252</v>
      </c>
      <c r="AC378" s="24">
        <f t="shared" si="116"/>
        <v>6.742262293541728</v>
      </c>
      <c r="AD378" s="24">
        <f t="shared" si="116"/>
        <v>6.7168351709346243</v>
      </c>
      <c r="AE378" s="24">
        <f t="shared" si="116"/>
        <v>6.1344059981088739</v>
      </c>
      <c r="AF378" s="28"/>
      <c r="AG378" s="11"/>
    </row>
    <row r="379" spans="1:33">
      <c r="A379" s="3"/>
      <c r="B379" s="5" t="s">
        <v>987</v>
      </c>
      <c r="C379" s="11"/>
      <c r="D379" t="s">
        <v>1037</v>
      </c>
      <c r="F379" s="27"/>
      <c r="G379" t="s">
        <v>854</v>
      </c>
      <c r="I379" s="2"/>
      <c r="K379" s="2"/>
      <c r="M379" s="2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11"/>
    </row>
    <row r="380" spans="1:33">
      <c r="A380" s="3"/>
      <c r="C380" s="11"/>
      <c r="D380" s="2" t="s">
        <v>988</v>
      </c>
      <c r="F380" s="27"/>
      <c r="G380" s="2"/>
      <c r="I380" s="2"/>
      <c r="K380" s="2"/>
      <c r="M380" s="2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11"/>
    </row>
    <row r="381" spans="1:33">
      <c r="A381" t="s">
        <v>879</v>
      </c>
      <c r="C381" s="11"/>
      <c r="G381" s="98">
        <f>SUM(H381:AE381)/48</f>
        <v>246.59427058346651</v>
      </c>
      <c r="H381" s="97">
        <f t="shared" ref="H381:AE381" si="117">H$65*(1-($F$16+$F$13)*H$376)</f>
        <v>45.265385591729462</v>
      </c>
      <c r="I381" s="97">
        <f t="shared" si="117"/>
        <v>146.4752197144052</v>
      </c>
      <c r="J381" s="97">
        <f t="shared" si="117"/>
        <v>245.75686841630497</v>
      </c>
      <c r="K381" s="97">
        <f t="shared" si="117"/>
        <v>340.44633413105242</v>
      </c>
      <c r="L381" s="97">
        <f t="shared" si="117"/>
        <v>429.16295614201738</v>
      </c>
      <c r="M381" s="97">
        <f t="shared" si="117"/>
        <v>510.66165775084312</v>
      </c>
      <c r="N381" s="97">
        <f t="shared" si="117"/>
        <v>583.27513959476778</v>
      </c>
      <c r="O381" s="97">
        <f t="shared" si="117"/>
        <v>645.71363970265259</v>
      </c>
      <c r="P381" s="97">
        <f t="shared" si="117"/>
        <v>696.88411079788466</v>
      </c>
      <c r="Q381" s="97">
        <f t="shared" si="117"/>
        <v>736.12517396223302</v>
      </c>
      <c r="R381" s="97">
        <f t="shared" si="117"/>
        <v>762.56458927509971</v>
      </c>
      <c r="S381" s="97">
        <f t="shared" si="117"/>
        <v>775.93141892420658</v>
      </c>
      <c r="T381" s="97">
        <f t="shared" si="117"/>
        <v>775.93141892420658</v>
      </c>
      <c r="U381" s="97">
        <f t="shared" si="117"/>
        <v>762.56458927509971</v>
      </c>
      <c r="V381" s="97">
        <f t="shared" si="117"/>
        <v>736.12517396223302</v>
      </c>
      <c r="W381" s="97">
        <f t="shared" si="117"/>
        <v>696.88411079788466</v>
      </c>
      <c r="X381" s="97">
        <f t="shared" si="117"/>
        <v>645.71363970265259</v>
      </c>
      <c r="Y381" s="97">
        <f t="shared" si="117"/>
        <v>583.27513959476778</v>
      </c>
      <c r="Z381" s="97">
        <f t="shared" si="117"/>
        <v>510.66165775084312</v>
      </c>
      <c r="AA381" s="97">
        <f t="shared" si="117"/>
        <v>429.16295614201738</v>
      </c>
      <c r="AB381" s="97">
        <f t="shared" si="117"/>
        <v>340.44633413105242</v>
      </c>
      <c r="AC381" s="97">
        <f t="shared" si="117"/>
        <v>245.75686841630497</v>
      </c>
      <c r="AD381" s="97">
        <f t="shared" si="117"/>
        <v>146.4752197144052</v>
      </c>
      <c r="AE381" s="97">
        <f t="shared" si="117"/>
        <v>45.265385591729462</v>
      </c>
      <c r="AF381" s="28"/>
      <c r="AG381" s="11"/>
    </row>
    <row r="382" spans="1:33">
      <c r="B382" s="24" t="s">
        <v>989</v>
      </c>
      <c r="D382" s="2" t="s">
        <v>992</v>
      </c>
      <c r="E382" s="24" t="s">
        <v>900</v>
      </c>
      <c r="H382" t="s">
        <v>853</v>
      </c>
      <c r="AF382" s="28"/>
      <c r="AG382" s="11"/>
    </row>
    <row r="383" spans="1:33">
      <c r="A383" t="s">
        <v>832</v>
      </c>
      <c r="C383" s="11"/>
      <c r="D383" s="24"/>
      <c r="G383" s="97">
        <f>SUM(H383:AE383)/48</f>
        <v>24.659427058346651</v>
      </c>
      <c r="H383" s="97">
        <f>H381*$Q$20</f>
        <v>4.5265385591729466</v>
      </c>
      <c r="I383" s="97">
        <f t="shared" ref="I383:AE383" si="118">I381*$Q$20</f>
        <v>14.64752197144052</v>
      </c>
      <c r="J383" s="97">
        <f t="shared" si="118"/>
        <v>24.5756868416305</v>
      </c>
      <c r="K383" s="97">
        <f t="shared" si="118"/>
        <v>34.044633413105245</v>
      </c>
      <c r="L383" s="97">
        <f t="shared" si="118"/>
        <v>42.916295614201744</v>
      </c>
      <c r="M383" s="97">
        <f t="shared" si="118"/>
        <v>51.066165775084315</v>
      </c>
      <c r="N383" s="97">
        <f t="shared" si="118"/>
        <v>58.327513959476782</v>
      </c>
      <c r="O383" s="97">
        <f t="shared" si="118"/>
        <v>64.571363970265267</v>
      </c>
      <c r="P383" s="97">
        <f t="shared" si="118"/>
        <v>69.688411079788466</v>
      </c>
      <c r="Q383" s="97">
        <f t="shared" si="118"/>
        <v>73.612517396223311</v>
      </c>
      <c r="R383" s="97">
        <f t="shared" si="118"/>
        <v>76.256458927509968</v>
      </c>
      <c r="S383" s="97">
        <f t="shared" si="118"/>
        <v>77.593141892420661</v>
      </c>
      <c r="T383" s="97">
        <f t="shared" si="118"/>
        <v>77.593141892420661</v>
      </c>
      <c r="U383" s="97">
        <f t="shared" si="118"/>
        <v>76.256458927509968</v>
      </c>
      <c r="V383" s="97">
        <f t="shared" si="118"/>
        <v>73.612517396223311</v>
      </c>
      <c r="W383" s="97">
        <f t="shared" si="118"/>
        <v>69.688411079788466</v>
      </c>
      <c r="X383" s="97">
        <f t="shared" si="118"/>
        <v>64.571363970265267</v>
      </c>
      <c r="Y383" s="97">
        <f t="shared" si="118"/>
        <v>58.327513959476782</v>
      </c>
      <c r="Z383" s="97">
        <f t="shared" si="118"/>
        <v>51.066165775084315</v>
      </c>
      <c r="AA383" s="97">
        <f t="shared" si="118"/>
        <v>42.916295614201744</v>
      </c>
      <c r="AB383" s="97">
        <f t="shared" si="118"/>
        <v>34.044633413105245</v>
      </c>
      <c r="AC383" s="97">
        <f t="shared" si="118"/>
        <v>24.5756868416305</v>
      </c>
      <c r="AD383" s="97">
        <f t="shared" si="118"/>
        <v>14.64752197144052</v>
      </c>
      <c r="AE383" s="97">
        <f t="shared" si="118"/>
        <v>4.5265385591729466</v>
      </c>
      <c r="AF383" s="28"/>
      <c r="AG383" s="11"/>
    </row>
    <row r="384" spans="1:33">
      <c r="B384" s="24" t="s">
        <v>912</v>
      </c>
      <c r="C384" s="14" t="s">
        <v>1002</v>
      </c>
      <c r="D384" s="24" t="s">
        <v>1043</v>
      </c>
      <c r="F384" s="27"/>
      <c r="AF384" s="28"/>
      <c r="AG384" s="11"/>
    </row>
    <row r="385" spans="1:33">
      <c r="A385" s="20" t="s">
        <v>833</v>
      </c>
      <c r="B385" s="11"/>
      <c r="C385" s="11"/>
      <c r="D385" s="11"/>
      <c r="E385" s="27"/>
      <c r="F385" s="6"/>
      <c r="G385" s="19">
        <f>SUM(H385:AE385)/48</f>
        <v>24.392049637097173</v>
      </c>
      <c r="H385" s="24">
        <f t="shared" ref="H385:AE385" si="119">H383*(1-($F$16+$F$13)*$H$377)</f>
        <v>4.4774581728251883</v>
      </c>
      <c r="I385" s="24">
        <f t="shared" si="119"/>
        <v>14.488701709998423</v>
      </c>
      <c r="J385" s="24">
        <f t="shared" si="119"/>
        <v>24.309217399432899</v>
      </c>
      <c r="K385" s="24">
        <f t="shared" si="119"/>
        <v>33.675494005776677</v>
      </c>
      <c r="L385" s="24">
        <f t="shared" si="119"/>
        <v>42.450962481207405</v>
      </c>
      <c r="M385" s="24">
        <f t="shared" si="119"/>
        <v>50.512465168588712</v>
      </c>
      <c r="N385" s="24">
        <f t="shared" si="119"/>
        <v>57.695079952251973</v>
      </c>
      <c r="O385" s="24">
        <f t="shared" si="119"/>
        <v>63.871229099163813</v>
      </c>
      <c r="P385" s="24">
        <f t="shared" si="119"/>
        <v>68.932793051786433</v>
      </c>
      <c r="Q385" s="24">
        <f t="shared" si="119"/>
        <v>72.814351038727878</v>
      </c>
      <c r="R385" s="24">
        <f t="shared" si="119"/>
        <v>75.429624820885678</v>
      </c>
      <c r="S385" s="24">
        <f t="shared" si="119"/>
        <v>76.751814389687041</v>
      </c>
      <c r="T385" s="24">
        <f t="shared" si="119"/>
        <v>76.751814389687041</v>
      </c>
      <c r="U385" s="24">
        <f t="shared" si="119"/>
        <v>75.429624820885678</v>
      </c>
      <c r="V385" s="24">
        <f t="shared" si="119"/>
        <v>72.814351038727878</v>
      </c>
      <c r="W385" s="24">
        <f t="shared" si="119"/>
        <v>68.932793051786433</v>
      </c>
      <c r="X385" s="24">
        <f t="shared" si="119"/>
        <v>63.871229099163813</v>
      </c>
      <c r="Y385" s="24">
        <f t="shared" si="119"/>
        <v>57.695079952251973</v>
      </c>
      <c r="Z385" s="24">
        <f t="shared" si="119"/>
        <v>50.512465168588712</v>
      </c>
      <c r="AA385" s="24">
        <f t="shared" si="119"/>
        <v>42.450962481207405</v>
      </c>
      <c r="AB385" s="24">
        <f t="shared" si="119"/>
        <v>33.675494005776677</v>
      </c>
      <c r="AC385" s="24">
        <f t="shared" si="119"/>
        <v>24.309217399432899</v>
      </c>
      <c r="AD385" s="24">
        <f t="shared" si="119"/>
        <v>14.488701709998423</v>
      </c>
      <c r="AE385" s="24">
        <f t="shared" si="119"/>
        <v>4.4774581728251883</v>
      </c>
      <c r="AF385" s="28"/>
      <c r="AG385" s="11"/>
    </row>
    <row r="386" spans="1:33">
      <c r="A386" s="20"/>
      <c r="B386" s="24" t="s">
        <v>1040</v>
      </c>
      <c r="C386" s="11"/>
      <c r="D386" t="s">
        <v>993</v>
      </c>
      <c r="G386" s="27"/>
      <c r="H386" s="24" t="s">
        <v>900</v>
      </c>
      <c r="K386" t="s">
        <v>853</v>
      </c>
      <c r="M386" s="28"/>
      <c r="O386" s="28"/>
      <c r="P386" s="28"/>
      <c r="Q386" s="11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11"/>
    </row>
    <row r="387" spans="1:33">
      <c r="A387" t="s">
        <v>834</v>
      </c>
      <c r="B387" s="5"/>
      <c r="C387" s="11"/>
      <c r="D387" s="5" t="s">
        <v>1003</v>
      </c>
      <c r="F387" t="s">
        <v>1038</v>
      </c>
      <c r="G387" s="97">
        <f>SUM(H387:AE387)/48</f>
        <v>0.26213472671518034</v>
      </c>
      <c r="H387" s="97">
        <f t="shared" ref="H387:AE387" si="120">H383*$H$377*$F$16</f>
        <v>4.8118025831135523E-2</v>
      </c>
      <c r="I387" s="97">
        <f t="shared" si="120"/>
        <v>0.15570613866872204</v>
      </c>
      <c r="J387" s="97">
        <f t="shared" si="120"/>
        <v>0.26124455117411771</v>
      </c>
      <c r="K387" s="97">
        <f t="shared" si="120"/>
        <v>0.3619013797338887</v>
      </c>
      <c r="L387" s="97">
        <f t="shared" si="120"/>
        <v>0.45620895391601768</v>
      </c>
      <c r="M387" s="97">
        <f t="shared" si="120"/>
        <v>0.54284373185843726</v>
      </c>
      <c r="N387" s="97">
        <f t="shared" si="120"/>
        <v>0.62003334041648428</v>
      </c>
      <c r="O387" s="97">
        <f t="shared" si="120"/>
        <v>0.68640673637397953</v>
      </c>
      <c r="P387" s="97">
        <f t="shared" si="120"/>
        <v>0.7408019882372846</v>
      </c>
      <c r="Q387" s="97">
        <f t="shared" si="120"/>
        <v>0.78251603676023229</v>
      </c>
      <c r="R387" s="97">
        <f t="shared" si="120"/>
        <v>0.81062167316106493</v>
      </c>
      <c r="S387" s="97">
        <f t="shared" si="120"/>
        <v>0.82483088503296453</v>
      </c>
      <c r="T387" s="97">
        <f t="shared" si="120"/>
        <v>0.82483088503296453</v>
      </c>
      <c r="U387" s="97">
        <f t="shared" si="120"/>
        <v>0.81062167316106493</v>
      </c>
      <c r="V387" s="97">
        <f t="shared" si="120"/>
        <v>0.78251603676023229</v>
      </c>
      <c r="W387" s="97">
        <f t="shared" si="120"/>
        <v>0.7408019882372846</v>
      </c>
      <c r="X387" s="97">
        <f t="shared" si="120"/>
        <v>0.68640673637397953</v>
      </c>
      <c r="Y387" s="97">
        <f t="shared" si="120"/>
        <v>0.62003334041648428</v>
      </c>
      <c r="Z387" s="97">
        <f t="shared" si="120"/>
        <v>0.54284373185843726</v>
      </c>
      <c r="AA387" s="97">
        <f t="shared" si="120"/>
        <v>0.45620895391601768</v>
      </c>
      <c r="AB387" s="97">
        <f t="shared" si="120"/>
        <v>0.3619013797338887</v>
      </c>
      <c r="AC387" s="97">
        <f t="shared" si="120"/>
        <v>0.26124455117411771</v>
      </c>
      <c r="AD387" s="97">
        <f t="shared" si="120"/>
        <v>0.15570613866872204</v>
      </c>
      <c r="AE387" s="97">
        <f t="shared" si="120"/>
        <v>4.8118025831135523E-2</v>
      </c>
      <c r="AF387" s="28"/>
      <c r="AG387" s="11"/>
    </row>
    <row r="388" spans="1:33">
      <c r="A388" t="s">
        <v>909</v>
      </c>
      <c r="B388" s="5"/>
      <c r="C388" s="11"/>
      <c r="D388" s="5" t="s">
        <v>1039</v>
      </c>
      <c r="G388" s="97">
        <f>SUM(H388:AE388)/48</f>
        <v>2.6213472671518041E-2</v>
      </c>
      <c r="H388" s="97">
        <f>H387*$Q$20</f>
        <v>4.8118025831135527E-3</v>
      </c>
      <c r="I388" s="97">
        <f t="shared" ref="I388:AE388" si="121">I387*$Q$20</f>
        <v>1.5570613866872205E-2</v>
      </c>
      <c r="J388" s="97">
        <f t="shared" si="121"/>
        <v>2.6124455117411773E-2</v>
      </c>
      <c r="K388" s="97">
        <f t="shared" si="121"/>
        <v>3.6190137973388874E-2</v>
      </c>
      <c r="L388" s="97">
        <f t="shared" si="121"/>
        <v>4.5620895391601773E-2</v>
      </c>
      <c r="M388" s="97">
        <f t="shared" si="121"/>
        <v>5.4284373185843726E-2</v>
      </c>
      <c r="N388" s="97">
        <f t="shared" si="121"/>
        <v>6.2003334041648428E-2</v>
      </c>
      <c r="O388" s="97">
        <f t="shared" si="121"/>
        <v>6.8640673637397953E-2</v>
      </c>
      <c r="P388" s="97">
        <f t="shared" si="121"/>
        <v>7.408019882372846E-2</v>
      </c>
      <c r="Q388" s="97">
        <f t="shared" si="121"/>
        <v>7.825160367602324E-2</v>
      </c>
      <c r="R388" s="97">
        <f t="shared" si="121"/>
        <v>8.1062167316106493E-2</v>
      </c>
      <c r="S388" s="97">
        <f t="shared" si="121"/>
        <v>8.2483088503296456E-2</v>
      </c>
      <c r="T388" s="97">
        <f t="shared" si="121"/>
        <v>8.2483088503296456E-2</v>
      </c>
      <c r="U388" s="97">
        <f t="shared" si="121"/>
        <v>8.1062167316106493E-2</v>
      </c>
      <c r="V388" s="97">
        <f t="shared" si="121"/>
        <v>7.825160367602324E-2</v>
      </c>
      <c r="W388" s="97">
        <f t="shared" si="121"/>
        <v>7.408019882372846E-2</v>
      </c>
      <c r="X388" s="97">
        <f t="shared" si="121"/>
        <v>6.8640673637397953E-2</v>
      </c>
      <c r="Y388" s="97">
        <f t="shared" si="121"/>
        <v>6.2003334041648428E-2</v>
      </c>
      <c r="Z388" s="97">
        <f t="shared" si="121"/>
        <v>5.4284373185843726E-2</v>
      </c>
      <c r="AA388" s="97">
        <f t="shared" si="121"/>
        <v>4.5620895391601773E-2</v>
      </c>
      <c r="AB388" s="97">
        <f t="shared" si="121"/>
        <v>3.6190137973388874E-2</v>
      </c>
      <c r="AC388" s="97">
        <f t="shared" si="121"/>
        <v>2.6124455117411773E-2</v>
      </c>
      <c r="AD388" s="97">
        <f t="shared" si="121"/>
        <v>1.5570613866872205E-2</v>
      </c>
      <c r="AE388" s="97">
        <f t="shared" si="121"/>
        <v>4.8118025831135527E-3</v>
      </c>
      <c r="AF388" s="28"/>
      <c r="AG388" s="11"/>
    </row>
    <row r="389" spans="1:33">
      <c r="A389" s="20" t="s">
        <v>835</v>
      </c>
      <c r="B389" s="5"/>
      <c r="C389" s="11"/>
      <c r="G389" s="19">
        <f>SUM(H389:AE389)/48</f>
        <v>2.5929245032801192E-2</v>
      </c>
      <c r="H389" s="24">
        <f t="shared" ref="H389:AE389" si="122">H388*(1-($F$16+$F$13)*$H$377)</f>
        <v>4.7596291338606418E-3</v>
      </c>
      <c r="I389" s="24">
        <f t="shared" si="122"/>
        <v>1.540178469768084E-2</v>
      </c>
      <c r="J389" s="24">
        <f t="shared" si="122"/>
        <v>2.5841192678900365E-2</v>
      </c>
      <c r="K389" s="24">
        <f t="shared" si="122"/>
        <v>3.5797735273070966E-2</v>
      </c>
      <c r="L389" s="24">
        <f t="shared" si="122"/>
        <v>4.5126236803791228E-2</v>
      </c>
      <c r="M389" s="24">
        <f t="shared" si="122"/>
        <v>5.3695778175820462E-2</v>
      </c>
      <c r="N389" s="24">
        <f t="shared" si="122"/>
        <v>6.1331043824779219E-2</v>
      </c>
      <c r="O389" s="24">
        <f t="shared" si="122"/>
        <v>6.7896416024819606E-2</v>
      </c>
      <c r="P389" s="24">
        <f t="shared" si="122"/>
        <v>7.3276961486531969E-2</v>
      </c>
      <c r="Q389" s="24">
        <f t="shared" si="122"/>
        <v>7.7403136598908004E-2</v>
      </c>
      <c r="R389" s="24">
        <f t="shared" si="122"/>
        <v>8.0183225838407465E-2</v>
      </c>
      <c r="S389" s="24">
        <f t="shared" si="122"/>
        <v>8.1588740250657737E-2</v>
      </c>
      <c r="T389" s="24">
        <f t="shared" si="122"/>
        <v>8.1588740250657737E-2</v>
      </c>
      <c r="U389" s="24">
        <f t="shared" si="122"/>
        <v>8.0183225838407465E-2</v>
      </c>
      <c r="V389" s="24">
        <f t="shared" si="122"/>
        <v>7.7403136598908004E-2</v>
      </c>
      <c r="W389" s="24">
        <f t="shared" si="122"/>
        <v>7.3276961486531969E-2</v>
      </c>
      <c r="X389" s="24">
        <f t="shared" si="122"/>
        <v>6.7896416024819606E-2</v>
      </c>
      <c r="Y389" s="24">
        <f t="shared" si="122"/>
        <v>6.1331043824779219E-2</v>
      </c>
      <c r="Z389" s="24">
        <f t="shared" si="122"/>
        <v>5.3695778175820462E-2</v>
      </c>
      <c r="AA389" s="24">
        <f t="shared" si="122"/>
        <v>4.5126236803791228E-2</v>
      </c>
      <c r="AB389" s="24">
        <f t="shared" si="122"/>
        <v>3.5797735273070966E-2</v>
      </c>
      <c r="AC389" s="24">
        <f t="shared" si="122"/>
        <v>2.5841192678900365E-2</v>
      </c>
      <c r="AD389" s="24">
        <f t="shared" si="122"/>
        <v>1.540178469768084E-2</v>
      </c>
      <c r="AE389" s="24">
        <f t="shared" si="122"/>
        <v>4.7596291338606418E-3</v>
      </c>
      <c r="AF389" s="28"/>
      <c r="AG389" s="11"/>
    </row>
    <row r="390" spans="1:33">
      <c r="A390" s="20"/>
      <c r="B390" s="24" t="s">
        <v>1042</v>
      </c>
      <c r="C390" s="11"/>
      <c r="D390" t="s">
        <v>993</v>
      </c>
      <c r="G390" s="27"/>
      <c r="H390" s="24" t="s">
        <v>900</v>
      </c>
      <c r="K390" t="s">
        <v>853</v>
      </c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8"/>
      <c r="AG390" s="11"/>
    </row>
    <row r="391" spans="1:33">
      <c r="A391" s="100" t="s">
        <v>836</v>
      </c>
      <c r="B391" s="5"/>
      <c r="C391" s="11"/>
      <c r="G391" s="19">
        <f>SUM(H391:AE391)/48</f>
        <v>2.7563315013451105E-5</v>
      </c>
      <c r="H391" s="2">
        <f>H389^2/H385</f>
        <v>5.0595826063520163E-6</v>
      </c>
      <c r="I391" s="2">
        <f t="shared" ref="I391:AE391" si="123">I389^2/I385</f>
        <v>1.6372410490721704E-5</v>
      </c>
      <c r="J391" s="2">
        <f t="shared" si="123"/>
        <v>2.746971356978493E-5</v>
      </c>
      <c r="K391" s="2">
        <f t="shared" si="123"/>
        <v>3.8053720918275024E-5</v>
      </c>
      <c r="L391" s="2">
        <f t="shared" si="123"/>
        <v>4.7970107838504832E-5</v>
      </c>
      <c r="M391" s="2">
        <f t="shared" si="123"/>
        <v>5.7079704668618392E-5</v>
      </c>
      <c r="N391" s="2">
        <f t="shared" si="123"/>
        <v>6.519614739679669E-5</v>
      </c>
      <c r="O391" s="2">
        <f t="shared" si="123"/>
        <v>7.217527162125227E-5</v>
      </c>
      <c r="P391" s="2">
        <f t="shared" si="123"/>
        <v>7.7894900916966906E-5</v>
      </c>
      <c r="Q391" s="2">
        <f t="shared" si="123"/>
        <v>8.2281109010538857E-5</v>
      </c>
      <c r="R391" s="2">
        <f t="shared" si="123"/>
        <v>8.5236400434446217E-5</v>
      </c>
      <c r="S391" s="2">
        <f t="shared" si="123"/>
        <v>8.6730490850568692E-5</v>
      </c>
      <c r="T391" s="2">
        <f t="shared" si="123"/>
        <v>8.6730490850568692E-5</v>
      </c>
      <c r="U391" s="2">
        <f t="shared" si="123"/>
        <v>8.5236400434446217E-5</v>
      </c>
      <c r="V391" s="2">
        <f t="shared" si="123"/>
        <v>8.2281109010538857E-5</v>
      </c>
      <c r="W391" s="2">
        <f t="shared" si="123"/>
        <v>7.7894900916966906E-5</v>
      </c>
      <c r="X391" s="2">
        <f t="shared" si="123"/>
        <v>7.217527162125227E-5</v>
      </c>
      <c r="Y391" s="2">
        <f t="shared" si="123"/>
        <v>6.519614739679669E-5</v>
      </c>
      <c r="Z391" s="2">
        <f t="shared" si="123"/>
        <v>5.7079704668618392E-5</v>
      </c>
      <c r="AA391" s="2">
        <f t="shared" si="123"/>
        <v>4.7970107838504832E-5</v>
      </c>
      <c r="AB391" s="2">
        <f t="shared" si="123"/>
        <v>3.8053720918275024E-5</v>
      </c>
      <c r="AC391" s="2">
        <f t="shared" si="123"/>
        <v>2.746971356978493E-5</v>
      </c>
      <c r="AD391" s="2">
        <f t="shared" si="123"/>
        <v>1.6372410490721704E-5</v>
      </c>
      <c r="AE391" s="2">
        <f t="shared" si="123"/>
        <v>5.0595826063520163E-6</v>
      </c>
      <c r="AF391" s="28"/>
      <c r="AG391" s="11"/>
    </row>
    <row r="392" spans="1:33">
      <c r="A392" s="100"/>
      <c r="B392" s="24" t="s">
        <v>1044</v>
      </c>
      <c r="C392" s="11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8"/>
      <c r="AG392" s="11"/>
    </row>
    <row r="393" spans="1:33">
      <c r="A393" s="20" t="s">
        <v>837</v>
      </c>
      <c r="B393" s="11"/>
      <c r="C393" s="11"/>
      <c r="D393" s="11"/>
      <c r="E393" s="27"/>
      <c r="F393" s="6"/>
      <c r="G393" s="19">
        <f>SUM(H393:AE393)/24</f>
        <v>333.35719452341613</v>
      </c>
      <c r="H393" s="24">
        <f t="shared" ref="H393:AE393" si="124">$Q$24*(1-$H$377*(1-$F$14))</f>
        <v>333.35719452341607</v>
      </c>
      <c r="I393" s="24">
        <f t="shared" si="124"/>
        <v>333.35719452341607</v>
      </c>
      <c r="J393" s="24">
        <f t="shared" si="124"/>
        <v>333.35719452341607</v>
      </c>
      <c r="K393" s="24">
        <f t="shared" si="124"/>
        <v>333.35719452341607</v>
      </c>
      <c r="L393" s="24">
        <f t="shared" si="124"/>
        <v>333.35719452341607</v>
      </c>
      <c r="M393" s="24">
        <f t="shared" si="124"/>
        <v>333.35719452341607</v>
      </c>
      <c r="N393" s="24">
        <f t="shared" si="124"/>
        <v>333.35719452341607</v>
      </c>
      <c r="O393" s="24">
        <f t="shared" si="124"/>
        <v>333.35719452341607</v>
      </c>
      <c r="P393" s="24">
        <f t="shared" si="124"/>
        <v>333.35719452341607</v>
      </c>
      <c r="Q393" s="24">
        <f t="shared" si="124"/>
        <v>333.35719452341607</v>
      </c>
      <c r="R393" s="24">
        <f t="shared" si="124"/>
        <v>333.35719452341607</v>
      </c>
      <c r="S393" s="24">
        <f t="shared" si="124"/>
        <v>333.35719452341607</v>
      </c>
      <c r="T393" s="24">
        <f t="shared" si="124"/>
        <v>333.35719452341607</v>
      </c>
      <c r="U393" s="24">
        <f t="shared" si="124"/>
        <v>333.35719452341607</v>
      </c>
      <c r="V393" s="24">
        <f t="shared" si="124"/>
        <v>333.35719452341607</v>
      </c>
      <c r="W393" s="24">
        <f t="shared" si="124"/>
        <v>333.35719452341607</v>
      </c>
      <c r="X393" s="24">
        <f t="shared" si="124"/>
        <v>333.35719452341607</v>
      </c>
      <c r="Y393" s="24">
        <f t="shared" si="124"/>
        <v>333.35719452341607</v>
      </c>
      <c r="Z393" s="24">
        <f t="shared" si="124"/>
        <v>333.35719452341607</v>
      </c>
      <c r="AA393" s="24">
        <f t="shared" si="124"/>
        <v>333.35719452341607</v>
      </c>
      <c r="AB393" s="24">
        <f t="shared" si="124"/>
        <v>333.35719452341607</v>
      </c>
      <c r="AC393" s="24">
        <f t="shared" si="124"/>
        <v>333.35719452341607</v>
      </c>
      <c r="AD393" s="24">
        <f t="shared" si="124"/>
        <v>333.35719452341607</v>
      </c>
      <c r="AE393" s="24">
        <f t="shared" si="124"/>
        <v>333.35719452341607</v>
      </c>
      <c r="AF393" s="28"/>
      <c r="AG393" s="11"/>
    </row>
    <row r="394" spans="1:33">
      <c r="A394" s="20"/>
      <c r="B394" s="5" t="s">
        <v>1004</v>
      </c>
      <c r="C394" s="11"/>
      <c r="D394" t="s">
        <v>1005</v>
      </c>
      <c r="E394" s="2"/>
      <c r="G394" t="s">
        <v>994</v>
      </c>
      <c r="I394" s="11"/>
      <c r="J394" s="28"/>
      <c r="K394" s="2" t="s">
        <v>844</v>
      </c>
      <c r="L394" s="12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11"/>
    </row>
    <row r="395" spans="1:33">
      <c r="A395" s="12" t="s">
        <v>573</v>
      </c>
      <c r="B395" t="s">
        <v>839</v>
      </c>
      <c r="E395" s="12"/>
      <c r="F395" s="6"/>
      <c r="G395" s="32"/>
      <c r="H395" s="3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3">
      <c r="A396" s="11"/>
      <c r="B396" s="14" t="s">
        <v>870</v>
      </c>
      <c r="E396" s="12"/>
      <c r="F396" s="6"/>
      <c r="G396" s="32"/>
      <c r="H396" s="3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3">
      <c r="A397" s="11"/>
      <c r="B397" s="14" t="s">
        <v>845</v>
      </c>
      <c r="E397" s="12"/>
      <c r="F397" s="6"/>
      <c r="G397" s="32"/>
      <c r="H397" s="3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3">
      <c r="A398" s="11"/>
      <c r="B398" s="14" t="s">
        <v>842</v>
      </c>
      <c r="E398" s="12"/>
      <c r="F398" s="6"/>
      <c r="G398" s="32"/>
      <c r="H398" s="3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3">
      <c r="A399" s="20" t="s">
        <v>914</v>
      </c>
      <c r="B399" s="11"/>
      <c r="C399" s="11"/>
      <c r="D399" s="11"/>
      <c r="E399" s="27"/>
      <c r="F399" s="6"/>
      <c r="G399" s="19">
        <f>SUM(H399:AE399)/24</f>
        <v>2.5618512323568008</v>
      </c>
      <c r="H399" s="24">
        <f t="shared" ref="H399:AE399" si="125">$M$9*($F$9+273)^4*$F$10*$F$18</f>
        <v>2.5618512323567995</v>
      </c>
      <c r="I399" s="24">
        <f t="shared" si="125"/>
        <v>2.5618512323567995</v>
      </c>
      <c r="J399" s="24">
        <f t="shared" si="125"/>
        <v>2.5618512323567995</v>
      </c>
      <c r="K399" s="24">
        <f t="shared" si="125"/>
        <v>2.5618512323567995</v>
      </c>
      <c r="L399" s="24">
        <f t="shared" si="125"/>
        <v>2.5618512323567995</v>
      </c>
      <c r="M399" s="24">
        <f t="shared" si="125"/>
        <v>2.5618512323567995</v>
      </c>
      <c r="N399" s="24">
        <f t="shared" si="125"/>
        <v>2.5618512323567995</v>
      </c>
      <c r="O399" s="24">
        <f t="shared" si="125"/>
        <v>2.5618512323567995</v>
      </c>
      <c r="P399" s="24">
        <f t="shared" si="125"/>
        <v>2.5618512323567995</v>
      </c>
      <c r="Q399" s="24">
        <f t="shared" si="125"/>
        <v>2.5618512323567995</v>
      </c>
      <c r="R399" s="24">
        <f t="shared" si="125"/>
        <v>2.5618512323567995</v>
      </c>
      <c r="S399" s="24">
        <f t="shared" si="125"/>
        <v>2.5618512323567995</v>
      </c>
      <c r="T399" s="24">
        <f t="shared" si="125"/>
        <v>2.5618512323567995</v>
      </c>
      <c r="U399" s="24">
        <f t="shared" si="125"/>
        <v>2.5618512323567995</v>
      </c>
      <c r="V399" s="24">
        <f t="shared" si="125"/>
        <v>2.5618512323567995</v>
      </c>
      <c r="W399" s="24">
        <f t="shared" si="125"/>
        <v>2.5618512323567995</v>
      </c>
      <c r="X399" s="24">
        <f t="shared" si="125"/>
        <v>2.5618512323567995</v>
      </c>
      <c r="Y399" s="24">
        <f t="shared" si="125"/>
        <v>2.5618512323567995</v>
      </c>
      <c r="Z399" s="24">
        <f t="shared" si="125"/>
        <v>2.5618512323567995</v>
      </c>
      <c r="AA399" s="24">
        <f t="shared" si="125"/>
        <v>2.5618512323567995</v>
      </c>
      <c r="AB399" s="24">
        <f t="shared" si="125"/>
        <v>2.5618512323567995</v>
      </c>
      <c r="AC399" s="24">
        <f t="shared" si="125"/>
        <v>2.5618512323567995</v>
      </c>
      <c r="AD399" s="24">
        <f t="shared" si="125"/>
        <v>2.5618512323567995</v>
      </c>
      <c r="AE399" s="24">
        <f t="shared" si="125"/>
        <v>2.5618512323567995</v>
      </c>
      <c r="AF399" s="28"/>
      <c r="AG399" s="11"/>
    </row>
    <row r="400" spans="1:33">
      <c r="A400" s="20"/>
      <c r="B400" s="5" t="s">
        <v>923</v>
      </c>
      <c r="C400" s="11"/>
      <c r="D400" t="s">
        <v>743</v>
      </c>
      <c r="E400" s="27"/>
      <c r="F400" s="6"/>
      <c r="G400" s="28"/>
      <c r="H400" t="s">
        <v>717</v>
      </c>
      <c r="I400" s="29"/>
      <c r="J400" s="11"/>
      <c r="K400" s="2" t="s">
        <v>719</v>
      </c>
      <c r="L400" s="11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11"/>
    </row>
    <row r="401" spans="1:33">
      <c r="A401" s="20"/>
      <c r="B401" s="27" t="s">
        <v>925</v>
      </c>
      <c r="C401" s="11" t="s">
        <v>924</v>
      </c>
      <c r="E401" s="27"/>
      <c r="F401" s="6"/>
      <c r="G401" s="28"/>
      <c r="I401" s="29"/>
      <c r="J401" s="11"/>
      <c r="K401" s="2"/>
      <c r="L401" s="11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11"/>
    </row>
    <row r="402" spans="1:33">
      <c r="A402" s="20"/>
      <c r="B402" s="14"/>
      <c r="C402" t="s">
        <v>926</v>
      </c>
      <c r="E402" s="27"/>
      <c r="F402" s="6"/>
      <c r="G402" s="28"/>
      <c r="I402" s="29"/>
      <c r="J402" s="11"/>
      <c r="K402" s="2"/>
      <c r="L402" s="11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11"/>
    </row>
    <row r="403" spans="1:33">
      <c r="A403" s="20"/>
      <c r="B403" s="16" t="s">
        <v>740</v>
      </c>
      <c r="C403" s="11"/>
      <c r="D403" s="11"/>
      <c r="E403" s="27"/>
      <c r="F403" s="6"/>
      <c r="G403" s="32">
        <f>G378+G385+G389+G391+G393+G399</f>
        <v>363.7186562472881</v>
      </c>
      <c r="H403" s="33"/>
      <c r="I403" s="29"/>
      <c r="J403" s="28"/>
      <c r="K403" s="11"/>
      <c r="L403" s="11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11"/>
    </row>
    <row r="404" spans="1:33">
      <c r="A404" s="20"/>
      <c r="B404" s="16" t="s">
        <v>721</v>
      </c>
      <c r="G404" s="32">
        <f>G373-G403</f>
        <v>1.7362438157575752</v>
      </c>
      <c r="H404" s="33"/>
      <c r="I404" s="8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3">
      <c r="A405" s="39" t="s">
        <v>508</v>
      </c>
      <c r="B405" s="16"/>
      <c r="G405" s="32"/>
      <c r="H405" s="3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3">
      <c r="A406" s="3" t="s">
        <v>771</v>
      </c>
      <c r="G406" t="s">
        <v>535</v>
      </c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3">
      <c r="A407" s="20" t="s">
        <v>873</v>
      </c>
      <c r="B407" s="11"/>
      <c r="C407" s="11"/>
      <c r="D407" s="11"/>
      <c r="E407" s="14" t="s">
        <v>563</v>
      </c>
      <c r="F407" s="31">
        <f>$F$15</f>
        <v>0.7</v>
      </c>
      <c r="G407" s="19">
        <f>SUM(H407:AE407)/48</f>
        <v>119.51979377283304</v>
      </c>
      <c r="H407" s="2">
        <f>H$65*H$27*$F$15</f>
        <v>0</v>
      </c>
      <c r="I407" s="2">
        <f t="shared" ref="I407:AE407" si="126">I$65*I$27*$F$15</f>
        <v>0</v>
      </c>
      <c r="J407" s="2">
        <f t="shared" si="126"/>
        <v>0</v>
      </c>
      <c r="K407" s="2">
        <f t="shared" si="126"/>
        <v>0</v>
      </c>
      <c r="L407" s="2">
        <f t="shared" si="126"/>
        <v>0</v>
      </c>
      <c r="M407" s="2">
        <f t="shared" si="126"/>
        <v>0</v>
      </c>
      <c r="N407" s="2">
        <f t="shared" si="126"/>
        <v>0</v>
      </c>
      <c r="O407" s="2">
        <f t="shared" si="126"/>
        <v>0</v>
      </c>
      <c r="P407" s="2">
        <f t="shared" si="126"/>
        <v>492.69677038819515</v>
      </c>
      <c r="Q407" s="2">
        <f t="shared" si="126"/>
        <v>520.18423603202552</v>
      </c>
      <c r="R407" s="2">
        <f t="shared" si="126"/>
        <v>538.68607632184217</v>
      </c>
      <c r="S407" s="2">
        <f t="shared" si="126"/>
        <v>548.03414891998227</v>
      </c>
      <c r="T407" s="2">
        <f t="shared" si="126"/>
        <v>548.03414891998227</v>
      </c>
      <c r="U407" s="2">
        <f t="shared" si="126"/>
        <v>538.68607632184217</v>
      </c>
      <c r="V407" s="2">
        <f t="shared" si="126"/>
        <v>520.18423603202552</v>
      </c>
      <c r="W407" s="2">
        <f t="shared" si="126"/>
        <v>492.69677038819515</v>
      </c>
      <c r="X407" s="2">
        <f t="shared" si="126"/>
        <v>456.88673333864148</v>
      </c>
      <c r="Y407" s="2">
        <f t="shared" si="126"/>
        <v>413.1615967416069</v>
      </c>
      <c r="Z407" s="2">
        <f t="shared" si="126"/>
        <v>362.32886194454306</v>
      </c>
      <c r="AA407" s="2">
        <f t="shared" si="126"/>
        <v>305.37044574710427</v>
      </c>
      <c r="AB407" s="2">
        <f t="shared" si="126"/>
        <v>0</v>
      </c>
      <c r="AC407" s="2">
        <f t="shared" si="126"/>
        <v>0</v>
      </c>
      <c r="AD407" s="2">
        <f t="shared" si="126"/>
        <v>0</v>
      </c>
      <c r="AE407" s="2">
        <f t="shared" si="126"/>
        <v>0</v>
      </c>
      <c r="AF407" s="2"/>
    </row>
    <row r="408" spans="1:33">
      <c r="A408" s="5"/>
      <c r="B408" s="5" t="s">
        <v>985</v>
      </c>
      <c r="C408" s="11"/>
      <c r="D408" t="s">
        <v>1006</v>
      </c>
      <c r="E408" s="12"/>
      <c r="F408" s="18"/>
      <c r="G408" s="19"/>
      <c r="H408" s="2" t="s">
        <v>860</v>
      </c>
      <c r="I408" s="2"/>
      <c r="J408" s="2" t="s">
        <v>861</v>
      </c>
      <c r="K408" s="26"/>
      <c r="L408" s="2"/>
      <c r="M408" s="2"/>
      <c r="N408" s="2"/>
      <c r="O408" s="26"/>
      <c r="P408" s="2"/>
      <c r="Q408" s="2"/>
      <c r="R408" s="26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3">
      <c r="A409" s="20" t="s">
        <v>874</v>
      </c>
      <c r="G409" s="19">
        <f>SUM(H409:AE409)/48</f>
        <v>7.9727800584171069</v>
      </c>
      <c r="H409" s="2">
        <f>H$65*$Q$20*H$28^2</f>
        <v>5.1522479709800519</v>
      </c>
      <c r="I409" s="2">
        <f t="shared" ref="I409:AE409" si="127">I$65*$Q$20*I$28^2</f>
        <v>15.33263915887585</v>
      </c>
      <c r="J409" s="2">
        <f t="shared" si="127"/>
        <v>25.263397595571757</v>
      </c>
      <c r="K409" s="2">
        <f t="shared" si="127"/>
        <v>34.734864317680298</v>
      </c>
      <c r="L409" s="2">
        <f t="shared" si="127"/>
        <v>43.62434939244347</v>
      </c>
      <c r="M409" s="2">
        <f t="shared" si="127"/>
        <v>51.76126599207759</v>
      </c>
      <c r="N409" s="2">
        <f t="shared" si="127"/>
        <v>59.023085248800989</v>
      </c>
      <c r="O409" s="2">
        <f t="shared" si="127"/>
        <v>65.269533334091648</v>
      </c>
      <c r="P409" s="2">
        <f t="shared" si="127"/>
        <v>0.1759631322814986</v>
      </c>
      <c r="Q409" s="2">
        <f t="shared" si="127"/>
        <v>0.18578008429715234</v>
      </c>
      <c r="R409" s="2">
        <f t="shared" si="127"/>
        <v>0.19238788440065827</v>
      </c>
      <c r="S409" s="2">
        <f t="shared" si="127"/>
        <v>0.19572648175713692</v>
      </c>
      <c r="T409" s="2">
        <f t="shared" si="127"/>
        <v>0.19572648175713692</v>
      </c>
      <c r="U409" s="2">
        <f t="shared" si="127"/>
        <v>0.19238788440065827</v>
      </c>
      <c r="V409" s="2">
        <f t="shared" si="127"/>
        <v>0.18578008429715234</v>
      </c>
      <c r="W409" s="2">
        <f t="shared" si="127"/>
        <v>0.1759631322814986</v>
      </c>
      <c r="X409" s="2">
        <f t="shared" si="127"/>
        <v>0.16317383333522942</v>
      </c>
      <c r="Y409" s="2">
        <f t="shared" si="127"/>
        <v>0.14755771312200272</v>
      </c>
      <c r="Z409" s="2">
        <f t="shared" si="127"/>
        <v>0.12940316498019419</v>
      </c>
      <c r="AA409" s="2">
        <f t="shared" si="127"/>
        <v>0.10906087348110886</v>
      </c>
      <c r="AB409" s="2">
        <f t="shared" si="127"/>
        <v>34.734864317680298</v>
      </c>
      <c r="AC409" s="2">
        <f t="shared" si="127"/>
        <v>25.263397595571757</v>
      </c>
      <c r="AD409" s="2">
        <f t="shared" si="127"/>
        <v>15.33263915887585</v>
      </c>
      <c r="AE409" s="2">
        <f t="shared" si="127"/>
        <v>5.1522479709800519</v>
      </c>
      <c r="AF409" s="2"/>
    </row>
    <row r="410" spans="1:33">
      <c r="A410" s="16"/>
      <c r="B410" s="5" t="s">
        <v>1008</v>
      </c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3">
      <c r="A411" s="20" t="s">
        <v>875</v>
      </c>
      <c r="E411" s="12"/>
      <c r="F411" s="6"/>
      <c r="G411" s="19">
        <f>(SUM(H411:AE411)+24*$Q$24)/48</f>
        <v>255.33791204400003</v>
      </c>
      <c r="H411" s="2">
        <f>$Q$24*(1-H$27)</f>
        <v>340.45054939200003</v>
      </c>
      <c r="I411" s="2">
        <f t="shared" ref="I411:AE411" si="128">$Q$24*(1-I$27)</f>
        <v>340.45054939200003</v>
      </c>
      <c r="J411" s="2">
        <f t="shared" si="128"/>
        <v>340.45054939200003</v>
      </c>
      <c r="K411" s="2">
        <f t="shared" si="128"/>
        <v>340.45054939200003</v>
      </c>
      <c r="L411" s="2">
        <f t="shared" si="128"/>
        <v>340.45054939200003</v>
      </c>
      <c r="M411" s="2">
        <f t="shared" si="128"/>
        <v>340.45054939200003</v>
      </c>
      <c r="N411" s="2">
        <f t="shared" si="128"/>
        <v>340.45054939200003</v>
      </c>
      <c r="O411" s="2">
        <f t="shared" si="128"/>
        <v>340.45054939200003</v>
      </c>
      <c r="P411" s="2">
        <f t="shared" si="128"/>
        <v>0</v>
      </c>
      <c r="Q411" s="2">
        <f t="shared" si="128"/>
        <v>0</v>
      </c>
      <c r="R411" s="2">
        <f t="shared" si="128"/>
        <v>0</v>
      </c>
      <c r="S411" s="2">
        <f t="shared" si="128"/>
        <v>0</v>
      </c>
      <c r="T411" s="2">
        <f t="shared" si="128"/>
        <v>0</v>
      </c>
      <c r="U411" s="2">
        <f t="shared" si="128"/>
        <v>0</v>
      </c>
      <c r="V411" s="2">
        <f t="shared" si="128"/>
        <v>0</v>
      </c>
      <c r="W411" s="2">
        <f t="shared" si="128"/>
        <v>0</v>
      </c>
      <c r="X411" s="2">
        <f t="shared" si="128"/>
        <v>0</v>
      </c>
      <c r="Y411" s="2">
        <f t="shared" si="128"/>
        <v>0</v>
      </c>
      <c r="Z411" s="2">
        <f t="shared" si="128"/>
        <v>0</v>
      </c>
      <c r="AA411" s="2">
        <f t="shared" si="128"/>
        <v>0</v>
      </c>
      <c r="AB411" s="2">
        <f t="shared" si="128"/>
        <v>340.45054939200003</v>
      </c>
      <c r="AC411" s="2">
        <f t="shared" si="128"/>
        <v>340.45054939200003</v>
      </c>
      <c r="AD411" s="2">
        <f t="shared" si="128"/>
        <v>340.45054939200003</v>
      </c>
      <c r="AE411" s="2">
        <f t="shared" si="128"/>
        <v>340.45054939200003</v>
      </c>
      <c r="AF411" s="2"/>
    </row>
    <row r="412" spans="1:33">
      <c r="A412" s="20"/>
      <c r="C412" s="5" t="s">
        <v>1007</v>
      </c>
      <c r="D412" t="s">
        <v>983</v>
      </c>
      <c r="E412" s="12"/>
      <c r="F412" s="6"/>
      <c r="G412" s="19"/>
      <c r="H412" s="2" t="s">
        <v>860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3">
      <c r="A413" s="20" t="s">
        <v>876</v>
      </c>
      <c r="E413" s="12">
        <f>$F$7</f>
        <v>-5</v>
      </c>
      <c r="F413" s="6" t="s">
        <v>558</v>
      </c>
      <c r="G413" s="19">
        <f>SUM(H413:AE413)/48</f>
        <v>73.51128940800001</v>
      </c>
      <c r="H413" s="2">
        <f t="shared" ref="H413:AE413" si="129">$M$9*($F$7+273)^4*H$27</f>
        <v>0</v>
      </c>
      <c r="I413" s="2">
        <f t="shared" si="129"/>
        <v>0</v>
      </c>
      <c r="J413" s="2">
        <f t="shared" si="129"/>
        <v>0</v>
      </c>
      <c r="K413" s="2">
        <f t="shared" si="129"/>
        <v>0</v>
      </c>
      <c r="L413" s="2">
        <f t="shared" si="129"/>
        <v>0</v>
      </c>
      <c r="M413" s="2">
        <f t="shared" si="129"/>
        <v>0</v>
      </c>
      <c r="N413" s="2">
        <f t="shared" si="129"/>
        <v>0</v>
      </c>
      <c r="O413" s="2">
        <f t="shared" si="129"/>
        <v>0</v>
      </c>
      <c r="P413" s="2">
        <f t="shared" si="129"/>
        <v>294.04515763199998</v>
      </c>
      <c r="Q413" s="2">
        <f t="shared" si="129"/>
        <v>294.04515763199998</v>
      </c>
      <c r="R413" s="2">
        <f t="shared" si="129"/>
        <v>294.04515763199998</v>
      </c>
      <c r="S413" s="2">
        <f t="shared" si="129"/>
        <v>294.04515763199998</v>
      </c>
      <c r="T413" s="2">
        <f t="shared" si="129"/>
        <v>294.04515763199998</v>
      </c>
      <c r="U413" s="2">
        <f t="shared" si="129"/>
        <v>294.04515763199998</v>
      </c>
      <c r="V413" s="2">
        <f t="shared" si="129"/>
        <v>294.04515763199998</v>
      </c>
      <c r="W413" s="2">
        <f t="shared" si="129"/>
        <v>294.04515763199998</v>
      </c>
      <c r="X413" s="2">
        <f t="shared" si="129"/>
        <v>294.04515763199998</v>
      </c>
      <c r="Y413" s="2">
        <f t="shared" si="129"/>
        <v>294.04515763199998</v>
      </c>
      <c r="Z413" s="2">
        <f t="shared" si="129"/>
        <v>294.04515763199998</v>
      </c>
      <c r="AA413" s="2">
        <f t="shared" si="129"/>
        <v>294.04515763199998</v>
      </c>
      <c r="AB413" s="2">
        <f t="shared" si="129"/>
        <v>0</v>
      </c>
      <c r="AC413" s="2">
        <f t="shared" si="129"/>
        <v>0</v>
      </c>
      <c r="AD413" s="2">
        <f t="shared" si="129"/>
        <v>0</v>
      </c>
      <c r="AE413" s="2">
        <f t="shared" si="129"/>
        <v>0</v>
      </c>
      <c r="AF413" s="2"/>
    </row>
    <row r="414" spans="1:33">
      <c r="A414" s="20"/>
      <c r="B414" t="s">
        <v>865</v>
      </c>
      <c r="D414" t="s">
        <v>743</v>
      </c>
      <c r="E414" s="30"/>
      <c r="F414" s="6"/>
      <c r="G414" s="19"/>
      <c r="H414" t="s">
        <v>617</v>
      </c>
      <c r="I414" s="2"/>
      <c r="K414" s="2" t="s">
        <v>860</v>
      </c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3">
      <c r="A415" s="20"/>
      <c r="B415" s="16" t="s">
        <v>724</v>
      </c>
      <c r="E415" s="30"/>
      <c r="F415" s="6"/>
      <c r="G415" s="32">
        <f>G407+G409+G411+G413</f>
        <v>456.34177528325017</v>
      </c>
      <c r="H415" s="3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3">
      <c r="A416" s="39" t="s">
        <v>508</v>
      </c>
      <c r="B416" s="16"/>
      <c r="E416" s="30"/>
      <c r="F416" s="6"/>
      <c r="G416" s="32"/>
      <c r="H416" s="3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3">
      <c r="A417" s="3" t="s">
        <v>733</v>
      </c>
      <c r="E417" s="12"/>
      <c r="F417" s="6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3">
      <c r="A418" s="3" t="s">
        <v>877</v>
      </c>
      <c r="G418" s="19">
        <f>SUM(H418:AE418)/48</f>
        <v>3.3816040460702035</v>
      </c>
      <c r="H418" s="24">
        <f t="shared" ref="H418:AE418" si="130">H$65*H$376*$F$16</f>
        <v>6.1344059981088739</v>
      </c>
      <c r="I418" s="24">
        <f t="shared" si="130"/>
        <v>6.7168351709346243</v>
      </c>
      <c r="J418" s="24">
        <f t="shared" si="130"/>
        <v>6.742262293541728</v>
      </c>
      <c r="K418" s="24">
        <f t="shared" si="130"/>
        <v>6.7669696526966252</v>
      </c>
      <c r="L418" s="24">
        <f t="shared" si="130"/>
        <v>6.9417037082522564</v>
      </c>
      <c r="M418" s="24">
        <f t="shared" si="130"/>
        <v>6.8147080097380188</v>
      </c>
      <c r="N418" s="24">
        <f t="shared" si="130"/>
        <v>6.8193263659236001</v>
      </c>
      <c r="O418" s="24">
        <f t="shared" si="130"/>
        <v>6.8447976845724297</v>
      </c>
      <c r="P418" s="24">
        <f t="shared" si="130"/>
        <v>6.8317826746161208</v>
      </c>
      <c r="Q418" s="24">
        <f t="shared" si="130"/>
        <v>6.8580031631128087</v>
      </c>
      <c r="R418" s="24">
        <f t="shared" si="130"/>
        <v>6.8499493407175844</v>
      </c>
      <c r="S418" s="24">
        <f t="shared" si="130"/>
        <v>6.8377530434702312</v>
      </c>
      <c r="T418" s="24">
        <f t="shared" si="130"/>
        <v>6.8377530434702312</v>
      </c>
      <c r="U418" s="24">
        <f t="shared" si="130"/>
        <v>6.8499493407175844</v>
      </c>
      <c r="V418" s="24">
        <f t="shared" si="130"/>
        <v>6.8580031631128087</v>
      </c>
      <c r="W418" s="24">
        <f t="shared" si="130"/>
        <v>6.8317826746161208</v>
      </c>
      <c r="X418" s="24">
        <f t="shared" si="130"/>
        <v>6.8447976845724297</v>
      </c>
      <c r="Y418" s="24">
        <f t="shared" si="130"/>
        <v>6.8193263659236001</v>
      </c>
      <c r="Z418" s="24">
        <f t="shared" si="130"/>
        <v>6.8147080097380188</v>
      </c>
      <c r="AA418" s="24">
        <f t="shared" si="130"/>
        <v>6.9417037082522564</v>
      </c>
      <c r="AB418" s="24">
        <f t="shared" si="130"/>
        <v>6.7669696526966252</v>
      </c>
      <c r="AC418" s="24">
        <f t="shared" si="130"/>
        <v>6.742262293541728</v>
      </c>
      <c r="AD418" s="24">
        <f t="shared" si="130"/>
        <v>6.7168351709346243</v>
      </c>
      <c r="AE418" s="24">
        <f t="shared" si="130"/>
        <v>6.1344059981088739</v>
      </c>
      <c r="AF418" s="2"/>
    </row>
    <row r="419" spans="1:33">
      <c r="B419" s="5" t="s">
        <v>987</v>
      </c>
      <c r="D419" t="s">
        <v>1012</v>
      </c>
      <c r="H419" t="s">
        <v>866</v>
      </c>
      <c r="J419" s="2"/>
      <c r="K419" s="2"/>
      <c r="L419" t="s">
        <v>990</v>
      </c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3">
      <c r="A420" t="s">
        <v>879</v>
      </c>
      <c r="C420" s="11"/>
      <c r="G420" s="98">
        <f>SUM(H420:AE420)/48</f>
        <v>246.59427058346651</v>
      </c>
      <c r="H420" s="97">
        <f t="shared" ref="H420:AE420" si="131">H$65*(1-($F$16+$F$13)*H$376)</f>
        <v>45.265385591729462</v>
      </c>
      <c r="I420" s="97">
        <f t="shared" si="131"/>
        <v>146.4752197144052</v>
      </c>
      <c r="J420" s="97">
        <f t="shared" si="131"/>
        <v>245.75686841630497</v>
      </c>
      <c r="K420" s="97">
        <f t="shared" si="131"/>
        <v>340.44633413105242</v>
      </c>
      <c r="L420" s="97">
        <f t="shared" si="131"/>
        <v>429.16295614201738</v>
      </c>
      <c r="M420" s="97">
        <f t="shared" si="131"/>
        <v>510.66165775084312</v>
      </c>
      <c r="N420" s="97">
        <f t="shared" si="131"/>
        <v>583.27513959476778</v>
      </c>
      <c r="O420" s="97">
        <f t="shared" si="131"/>
        <v>645.71363970265259</v>
      </c>
      <c r="P420" s="97">
        <f t="shared" si="131"/>
        <v>696.88411079788466</v>
      </c>
      <c r="Q420" s="97">
        <f t="shared" si="131"/>
        <v>736.12517396223302</v>
      </c>
      <c r="R420" s="97">
        <f t="shared" si="131"/>
        <v>762.56458927509971</v>
      </c>
      <c r="S420" s="97">
        <f t="shared" si="131"/>
        <v>775.93141892420658</v>
      </c>
      <c r="T420" s="97">
        <f t="shared" si="131"/>
        <v>775.93141892420658</v>
      </c>
      <c r="U420" s="97">
        <f t="shared" si="131"/>
        <v>762.56458927509971</v>
      </c>
      <c r="V420" s="97">
        <f t="shared" si="131"/>
        <v>736.12517396223302</v>
      </c>
      <c r="W420" s="97">
        <f t="shared" si="131"/>
        <v>696.88411079788466</v>
      </c>
      <c r="X420" s="97">
        <f t="shared" si="131"/>
        <v>645.71363970265259</v>
      </c>
      <c r="Y420" s="97">
        <f t="shared" si="131"/>
        <v>583.27513959476778</v>
      </c>
      <c r="Z420" s="97">
        <f t="shared" si="131"/>
        <v>510.66165775084312</v>
      </c>
      <c r="AA420" s="97">
        <f t="shared" si="131"/>
        <v>429.16295614201738</v>
      </c>
      <c r="AB420" s="97">
        <f t="shared" si="131"/>
        <v>340.44633413105242</v>
      </c>
      <c r="AC420" s="97">
        <f t="shared" si="131"/>
        <v>245.75686841630497</v>
      </c>
      <c r="AD420" s="97">
        <f t="shared" si="131"/>
        <v>146.4752197144052</v>
      </c>
      <c r="AE420" s="97">
        <f t="shared" si="131"/>
        <v>45.265385591729462</v>
      </c>
      <c r="AF420" s="28"/>
      <c r="AG420" s="11"/>
    </row>
    <row r="421" spans="1:33">
      <c r="B421" s="24" t="s">
        <v>989</v>
      </c>
      <c r="D421" s="2" t="s">
        <v>992</v>
      </c>
      <c r="E421" s="106" t="s">
        <v>970</v>
      </c>
      <c r="G421" t="s">
        <v>853</v>
      </c>
      <c r="I421" t="s">
        <v>990</v>
      </c>
      <c r="AF421" s="28"/>
      <c r="AG421" s="11"/>
    </row>
    <row r="422" spans="1:33">
      <c r="A422" t="s">
        <v>878</v>
      </c>
      <c r="C422" s="11"/>
      <c r="D422" s="24"/>
      <c r="G422" s="97">
        <f>SUM(H422:AE422)/48</f>
        <v>126.05722679721076</v>
      </c>
      <c r="H422" s="97">
        <f>H420*($Q$20*(1-H$27)+$F$15*H$27)</f>
        <v>4.5265385591729466</v>
      </c>
      <c r="I422" s="97">
        <f t="shared" ref="I422:AE422" si="132">I420*($Q$20*(1-I$27)+$F$15*I$27)</f>
        <v>14.64752197144052</v>
      </c>
      <c r="J422" s="97">
        <f t="shared" si="132"/>
        <v>24.5756868416305</v>
      </c>
      <c r="K422" s="97">
        <f t="shared" si="132"/>
        <v>34.044633413105245</v>
      </c>
      <c r="L422" s="97">
        <f t="shared" si="132"/>
        <v>42.916295614201744</v>
      </c>
      <c r="M422" s="97">
        <f t="shared" si="132"/>
        <v>51.066165775084315</v>
      </c>
      <c r="N422" s="97">
        <f t="shared" si="132"/>
        <v>58.327513959476782</v>
      </c>
      <c r="O422" s="97">
        <f t="shared" si="132"/>
        <v>64.571363970265267</v>
      </c>
      <c r="P422" s="97">
        <f t="shared" si="132"/>
        <v>487.8188775585192</v>
      </c>
      <c r="Q422" s="97">
        <f t="shared" si="132"/>
        <v>515.28762177356305</v>
      </c>
      <c r="R422" s="97">
        <f t="shared" si="132"/>
        <v>533.79521249256982</v>
      </c>
      <c r="S422" s="97">
        <f t="shared" si="132"/>
        <v>543.15199324694458</v>
      </c>
      <c r="T422" s="97">
        <f t="shared" si="132"/>
        <v>543.15199324694458</v>
      </c>
      <c r="U422" s="97">
        <f t="shared" si="132"/>
        <v>533.79521249256982</v>
      </c>
      <c r="V422" s="97">
        <f t="shared" si="132"/>
        <v>515.28762177356305</v>
      </c>
      <c r="W422" s="97">
        <f t="shared" si="132"/>
        <v>487.8188775585192</v>
      </c>
      <c r="X422" s="97">
        <f t="shared" si="132"/>
        <v>451.9995477918568</v>
      </c>
      <c r="Y422" s="97">
        <f t="shared" si="132"/>
        <v>408.29259771633741</v>
      </c>
      <c r="Z422" s="97">
        <f t="shared" si="132"/>
        <v>357.46316042559016</v>
      </c>
      <c r="AA422" s="97">
        <f t="shared" si="132"/>
        <v>300.41406929941212</v>
      </c>
      <c r="AB422" s="97">
        <f t="shared" si="132"/>
        <v>34.044633413105245</v>
      </c>
      <c r="AC422" s="97">
        <f t="shared" si="132"/>
        <v>24.5756868416305</v>
      </c>
      <c r="AD422" s="97">
        <f t="shared" si="132"/>
        <v>14.64752197144052</v>
      </c>
      <c r="AE422" s="97">
        <f t="shared" si="132"/>
        <v>4.5265385591729466</v>
      </c>
      <c r="AF422" s="28"/>
      <c r="AG422" s="11"/>
    </row>
    <row r="423" spans="1:33">
      <c r="B423" s="24" t="s">
        <v>917</v>
      </c>
      <c r="D423" s="14" t="s">
        <v>1002</v>
      </c>
      <c r="G423" t="s">
        <v>888</v>
      </c>
      <c r="I423" s="24" t="s">
        <v>1045</v>
      </c>
      <c r="M423" s="2" t="s">
        <v>860</v>
      </c>
      <c r="AF423" s="28"/>
      <c r="AG423" s="11"/>
    </row>
    <row r="424" spans="1:33" ht="18">
      <c r="A424" s="20" t="s">
        <v>881</v>
      </c>
      <c r="G424" s="19">
        <f>SUM(H424:AE424)/48</f>
        <v>117.06362032189445</v>
      </c>
      <c r="H424" s="2">
        <f t="shared" ref="H424:AE424" si="133">H$65*H$27*$F$15*(1-H$376*$F$16)*(1-$H$377*$F$16)</f>
        <v>0</v>
      </c>
      <c r="I424" s="2">
        <f t="shared" si="133"/>
        <v>0</v>
      </c>
      <c r="J424" s="2">
        <f t="shared" si="133"/>
        <v>0</v>
      </c>
      <c r="K424" s="2">
        <f t="shared" si="133"/>
        <v>0</v>
      </c>
      <c r="L424" s="2">
        <f t="shared" si="133"/>
        <v>0</v>
      </c>
      <c r="M424" s="2">
        <f t="shared" si="133"/>
        <v>0</v>
      </c>
      <c r="N424" s="2">
        <f t="shared" si="133"/>
        <v>0</v>
      </c>
      <c r="O424" s="2">
        <f t="shared" si="133"/>
        <v>0</v>
      </c>
      <c r="P424" s="2">
        <f t="shared" si="133"/>
        <v>482.7278918729458</v>
      </c>
      <c r="Q424" s="2">
        <f t="shared" si="133"/>
        <v>509.90500093296004</v>
      </c>
      <c r="R424" s="2">
        <f t="shared" si="133"/>
        <v>528.21574064224035</v>
      </c>
      <c r="S424" s="2">
        <f t="shared" si="133"/>
        <v>537.47288798043792</v>
      </c>
      <c r="T424" s="2">
        <f t="shared" si="133"/>
        <v>537.47288798043792</v>
      </c>
      <c r="U424" s="2">
        <f t="shared" si="133"/>
        <v>528.21574064224035</v>
      </c>
      <c r="V424" s="2">
        <f t="shared" si="133"/>
        <v>509.90500093296004</v>
      </c>
      <c r="W424" s="2">
        <f t="shared" si="133"/>
        <v>482.7278918729458</v>
      </c>
      <c r="X424" s="2">
        <f t="shared" si="133"/>
        <v>447.28950914253494</v>
      </c>
      <c r="Y424" s="2">
        <f t="shared" si="133"/>
        <v>404.04682003097128</v>
      </c>
      <c r="Z424" s="2">
        <f t="shared" si="133"/>
        <v>353.75764603046059</v>
      </c>
      <c r="AA424" s="2">
        <f t="shared" si="133"/>
        <v>297.31675738979715</v>
      </c>
      <c r="AB424" s="2">
        <f t="shared" si="133"/>
        <v>0</v>
      </c>
      <c r="AC424" s="2">
        <f t="shared" si="133"/>
        <v>0</v>
      </c>
      <c r="AD424" s="2">
        <f t="shared" si="133"/>
        <v>0</v>
      </c>
      <c r="AE424" s="2">
        <f t="shared" si="133"/>
        <v>0</v>
      </c>
      <c r="AF424" s="2"/>
    </row>
    <row r="425" spans="1:33">
      <c r="B425" s="5" t="s">
        <v>985</v>
      </c>
      <c r="C425" s="11"/>
      <c r="D425" t="s">
        <v>772</v>
      </c>
      <c r="E425" s="12"/>
      <c r="F425" s="18"/>
      <c r="G425" s="2" t="s">
        <v>860</v>
      </c>
      <c r="I425" s="2" t="s">
        <v>867</v>
      </c>
      <c r="K425" s="9"/>
      <c r="AF425" s="2"/>
    </row>
    <row r="426" spans="1:33">
      <c r="A426" s="11" t="s">
        <v>568</v>
      </c>
      <c r="B426" t="s">
        <v>883</v>
      </c>
      <c r="C426" s="11"/>
      <c r="E426" s="12"/>
      <c r="F426" s="18"/>
      <c r="G426" s="2" t="s">
        <v>995</v>
      </c>
      <c r="H426" s="2"/>
      <c r="J426" t="s">
        <v>868</v>
      </c>
      <c r="AF426" s="2"/>
    </row>
    <row r="427" spans="1:33">
      <c r="A427" s="11"/>
      <c r="B427" t="s">
        <v>996</v>
      </c>
      <c r="C427" s="11"/>
      <c r="E427" s="12"/>
      <c r="F427" s="18"/>
      <c r="G427" s="19"/>
      <c r="I427" s="12" t="s">
        <v>858</v>
      </c>
      <c r="K427" s="11"/>
      <c r="AF427" s="2"/>
    </row>
    <row r="428" spans="1:33">
      <c r="A428" s="11"/>
      <c r="B428" s="2" t="s">
        <v>997</v>
      </c>
      <c r="C428" s="11"/>
      <c r="E428" s="12"/>
      <c r="F428" s="18"/>
      <c r="G428" s="19"/>
      <c r="H428" s="2"/>
      <c r="K428" s="11"/>
      <c r="L428" s="12"/>
      <c r="AF428" s="2"/>
    </row>
    <row r="429" spans="1:33" ht="18">
      <c r="A429" s="20" t="s">
        <v>882</v>
      </c>
      <c r="G429" s="19">
        <f>SUM(H429:AE429)/48</f>
        <v>7.722417749575631</v>
      </c>
      <c r="H429" s="2">
        <f t="shared" ref="H429:AE429" si="134">H$65*$Q$20*H$28^2*(1-H$376*$F$16)*(1-$H$377*$F$16)</f>
        <v>4.4905589253703582</v>
      </c>
      <c r="I429" s="2">
        <f t="shared" si="134"/>
        <v>14.505106700464783</v>
      </c>
      <c r="J429" s="2">
        <f t="shared" si="134"/>
        <v>24.32778347180361</v>
      </c>
      <c r="K429" s="2">
        <f t="shared" si="134"/>
        <v>33.69612210414838</v>
      </c>
      <c r="L429" s="2">
        <f t="shared" si="134"/>
        <v>42.473822484256736</v>
      </c>
      <c r="M429" s="2">
        <f t="shared" si="134"/>
        <v>50.536806575780091</v>
      </c>
      <c r="N429" s="2">
        <f t="shared" si="134"/>
        <v>57.720974290138756</v>
      </c>
      <c r="O429" s="2">
        <f t="shared" si="134"/>
        <v>63.898501306076426</v>
      </c>
      <c r="P429" s="2">
        <f t="shared" si="134"/>
        <v>0.17240281852605238</v>
      </c>
      <c r="Q429" s="2">
        <f t="shared" si="134"/>
        <v>0.18210892890462896</v>
      </c>
      <c r="R429" s="2">
        <f t="shared" si="134"/>
        <v>0.18864847880080046</v>
      </c>
      <c r="S429" s="2">
        <f t="shared" si="134"/>
        <v>0.19195460285015681</v>
      </c>
      <c r="T429" s="2">
        <f t="shared" si="134"/>
        <v>0.19195460285015681</v>
      </c>
      <c r="U429" s="2">
        <f t="shared" si="134"/>
        <v>0.18864847880080046</v>
      </c>
      <c r="V429" s="2">
        <f t="shared" si="134"/>
        <v>0.18210892890462896</v>
      </c>
      <c r="W429" s="2">
        <f t="shared" si="134"/>
        <v>0.17240281852605238</v>
      </c>
      <c r="X429" s="2">
        <f t="shared" si="134"/>
        <v>0.15974625326519137</v>
      </c>
      <c r="Y429" s="2">
        <f t="shared" si="134"/>
        <v>0.14430243572534715</v>
      </c>
      <c r="Z429" s="2">
        <f t="shared" si="134"/>
        <v>0.12634201643945042</v>
      </c>
      <c r="AA429" s="2">
        <f t="shared" si="134"/>
        <v>0.10618455621064203</v>
      </c>
      <c r="AB429" s="2">
        <f t="shared" si="134"/>
        <v>33.69612210414838</v>
      </c>
      <c r="AC429" s="2">
        <f t="shared" si="134"/>
        <v>24.32778347180361</v>
      </c>
      <c r="AD429" s="2">
        <f t="shared" si="134"/>
        <v>14.505106700464783</v>
      </c>
      <c r="AE429" s="2">
        <f t="shared" si="134"/>
        <v>4.4905589253703582</v>
      </c>
      <c r="AF429" s="2"/>
    </row>
    <row r="430" spans="1:33">
      <c r="A430" s="14"/>
      <c r="B430" s="5" t="s">
        <v>1008</v>
      </c>
      <c r="G430" s="2"/>
      <c r="H430" s="2"/>
      <c r="I430" s="2"/>
      <c r="J430" s="10"/>
      <c r="K430" s="9"/>
      <c r="AF430" s="2"/>
    </row>
    <row r="431" spans="1:33">
      <c r="A431" s="11" t="s">
        <v>568</v>
      </c>
      <c r="B431" t="s">
        <v>726</v>
      </c>
      <c r="C431" s="11"/>
      <c r="E431" s="12"/>
      <c r="F431" s="18"/>
      <c r="G431" s="2" t="s">
        <v>995</v>
      </c>
      <c r="H431" s="2"/>
      <c r="J431" s="11"/>
      <c r="K431" t="s">
        <v>868</v>
      </c>
      <c r="M431" s="10"/>
      <c r="N431" s="10"/>
      <c r="AF431" s="2"/>
    </row>
    <row r="432" spans="1:33">
      <c r="A432" s="11"/>
      <c r="B432" t="s">
        <v>996</v>
      </c>
      <c r="C432" s="11"/>
      <c r="E432" s="12"/>
      <c r="F432" s="18"/>
      <c r="G432" s="19"/>
      <c r="H432" s="2"/>
      <c r="J432" s="11"/>
      <c r="M432" s="10"/>
      <c r="N432" s="10"/>
      <c r="AF432" s="2"/>
    </row>
    <row r="433" spans="1:33">
      <c r="A433" t="s">
        <v>834</v>
      </c>
      <c r="B433" s="5"/>
      <c r="C433" s="11"/>
      <c r="D433" s="5" t="s">
        <v>1003</v>
      </c>
      <c r="F433" t="s">
        <v>1046</v>
      </c>
      <c r="G433" s="97">
        <f>SUM(H433:AE433)/48</f>
        <v>1.3400139678336815</v>
      </c>
      <c r="H433" s="97">
        <f t="shared" ref="H433:AE433" si="135">H422*$H$377*$F$16</f>
        <v>4.8118025831135523E-2</v>
      </c>
      <c r="I433" s="97">
        <f t="shared" si="135"/>
        <v>0.15570613866872204</v>
      </c>
      <c r="J433" s="97">
        <f t="shared" si="135"/>
        <v>0.26124455117411771</v>
      </c>
      <c r="K433" s="97">
        <f t="shared" si="135"/>
        <v>0.3619013797338887</v>
      </c>
      <c r="L433" s="97">
        <f t="shared" si="135"/>
        <v>0.45620895391601768</v>
      </c>
      <c r="M433" s="97">
        <f t="shared" si="135"/>
        <v>0.54284373185843726</v>
      </c>
      <c r="N433" s="97">
        <f t="shared" si="135"/>
        <v>0.62003334041648428</v>
      </c>
      <c r="O433" s="97">
        <f t="shared" si="135"/>
        <v>0.68640673637397953</v>
      </c>
      <c r="P433" s="97">
        <f t="shared" si="135"/>
        <v>5.1856139176609917</v>
      </c>
      <c r="Q433" s="97">
        <f t="shared" si="135"/>
        <v>5.477612257321625</v>
      </c>
      <c r="R433" s="97">
        <f t="shared" si="135"/>
        <v>5.6743517121274545</v>
      </c>
      <c r="S433" s="97">
        <f t="shared" si="135"/>
        <v>5.7738161952307507</v>
      </c>
      <c r="T433" s="97">
        <f t="shared" si="135"/>
        <v>5.7738161952307507</v>
      </c>
      <c r="U433" s="97">
        <f t="shared" si="135"/>
        <v>5.6743517121274545</v>
      </c>
      <c r="V433" s="97">
        <f t="shared" si="135"/>
        <v>5.477612257321625</v>
      </c>
      <c r="W433" s="97">
        <f t="shared" si="135"/>
        <v>5.1856139176609917</v>
      </c>
      <c r="X433" s="97">
        <f t="shared" si="135"/>
        <v>4.8048471546178559</v>
      </c>
      <c r="Y433" s="97">
        <f t="shared" si="135"/>
        <v>4.3402333829153896</v>
      </c>
      <c r="Z433" s="97">
        <f t="shared" si="135"/>
        <v>3.7999061230090603</v>
      </c>
      <c r="AA433" s="97">
        <f t="shared" si="135"/>
        <v>3.1934626774121226</v>
      </c>
      <c r="AB433" s="97">
        <f t="shared" si="135"/>
        <v>0.3619013797338887</v>
      </c>
      <c r="AC433" s="97">
        <f t="shared" si="135"/>
        <v>0.26124455117411771</v>
      </c>
      <c r="AD433" s="97">
        <f t="shared" si="135"/>
        <v>0.15570613866872204</v>
      </c>
      <c r="AE433" s="97">
        <f t="shared" si="135"/>
        <v>4.8118025831135523E-2</v>
      </c>
      <c r="AF433" s="28"/>
      <c r="AG433" s="11"/>
    </row>
    <row r="434" spans="1:33">
      <c r="A434" t="s">
        <v>918</v>
      </c>
      <c r="B434" s="5"/>
      <c r="C434" s="11"/>
      <c r="D434" s="104" t="s">
        <v>1093</v>
      </c>
      <c r="G434" s="97">
        <f>SUM(H434:AE434)/48</f>
        <v>0.88851686556631904</v>
      </c>
      <c r="H434" s="97">
        <f>H433*($Q$20*(1-H$27)+$F$15*H$27)</f>
        <v>4.8118025831135527E-3</v>
      </c>
      <c r="I434" s="97">
        <f t="shared" ref="I434:AE434" si="136">I433*($Q$20*(1-I$27)+$F$15*I$27)</f>
        <v>1.5570613866872205E-2</v>
      </c>
      <c r="J434" s="97">
        <f t="shared" si="136"/>
        <v>2.6124455117411773E-2</v>
      </c>
      <c r="K434" s="97">
        <f t="shared" si="136"/>
        <v>3.6190137973388874E-2</v>
      </c>
      <c r="L434" s="97">
        <f t="shared" si="136"/>
        <v>4.5620895391601773E-2</v>
      </c>
      <c r="M434" s="97">
        <f t="shared" si="136"/>
        <v>5.4284373185843726E-2</v>
      </c>
      <c r="N434" s="97">
        <f t="shared" si="136"/>
        <v>6.2003334041648428E-2</v>
      </c>
      <c r="O434" s="97">
        <f t="shared" si="136"/>
        <v>6.8640673637397953E-2</v>
      </c>
      <c r="P434" s="97">
        <f t="shared" si="136"/>
        <v>3.6299297423626937</v>
      </c>
      <c r="Q434" s="97">
        <f t="shared" si="136"/>
        <v>3.8343285801251374</v>
      </c>
      <c r="R434" s="97">
        <f t="shared" si="136"/>
        <v>3.9720461984892177</v>
      </c>
      <c r="S434" s="97">
        <f t="shared" si="136"/>
        <v>4.0416713366615253</v>
      </c>
      <c r="T434" s="97">
        <f t="shared" si="136"/>
        <v>4.0416713366615253</v>
      </c>
      <c r="U434" s="97">
        <f t="shared" si="136"/>
        <v>3.9720461984892177</v>
      </c>
      <c r="V434" s="97">
        <f t="shared" si="136"/>
        <v>3.8343285801251374</v>
      </c>
      <c r="W434" s="97">
        <f t="shared" si="136"/>
        <v>3.6299297423626937</v>
      </c>
      <c r="X434" s="97">
        <f t="shared" si="136"/>
        <v>3.363393008232499</v>
      </c>
      <c r="Y434" s="97">
        <f t="shared" si="136"/>
        <v>3.0381633680407725</v>
      </c>
      <c r="Z434" s="97">
        <f t="shared" si="136"/>
        <v>2.659934286106342</v>
      </c>
      <c r="AA434" s="97">
        <f t="shared" si="136"/>
        <v>2.2354238741884855</v>
      </c>
      <c r="AB434" s="97">
        <f t="shared" si="136"/>
        <v>3.6190137973388874E-2</v>
      </c>
      <c r="AC434" s="97">
        <f t="shared" si="136"/>
        <v>2.6124455117411773E-2</v>
      </c>
      <c r="AD434" s="97">
        <f t="shared" si="136"/>
        <v>1.5570613866872205E-2</v>
      </c>
      <c r="AE434" s="97">
        <f t="shared" si="136"/>
        <v>4.8118025831135527E-3</v>
      </c>
      <c r="AF434" s="28"/>
      <c r="AG434" s="11"/>
    </row>
    <row r="435" spans="1:33">
      <c r="A435" s="20" t="s">
        <v>835</v>
      </c>
      <c r="B435" s="5"/>
      <c r="C435" s="11"/>
      <c r="G435" s="19">
        <f>SUM(H435:AE435)/48</f>
        <v>0.87888284821102214</v>
      </c>
      <c r="H435" s="24">
        <f t="shared" ref="H435:AE435" si="137">H434*(1-($F$16+$F$13)*$H$377)</f>
        <v>4.7596291338606418E-3</v>
      </c>
      <c r="I435" s="24">
        <f t="shared" si="137"/>
        <v>1.540178469768084E-2</v>
      </c>
      <c r="J435" s="24">
        <f t="shared" si="137"/>
        <v>2.5841192678900365E-2</v>
      </c>
      <c r="K435" s="24">
        <f t="shared" si="137"/>
        <v>3.5797735273070966E-2</v>
      </c>
      <c r="L435" s="24">
        <f t="shared" si="137"/>
        <v>4.5126236803791228E-2</v>
      </c>
      <c r="M435" s="24">
        <f t="shared" si="137"/>
        <v>5.3695778175820462E-2</v>
      </c>
      <c r="N435" s="24">
        <f t="shared" si="137"/>
        <v>6.1331043824779219E-2</v>
      </c>
      <c r="O435" s="24">
        <f t="shared" si="137"/>
        <v>6.7896416024819606E-2</v>
      </c>
      <c r="P435" s="24">
        <f t="shared" si="137"/>
        <v>3.5905711128400655</v>
      </c>
      <c r="Q435" s="24">
        <f t="shared" si="137"/>
        <v>3.7927536933464912</v>
      </c>
      <c r="R435" s="24">
        <f t="shared" si="137"/>
        <v>3.9289780660819651</v>
      </c>
      <c r="S435" s="24">
        <f t="shared" si="137"/>
        <v>3.9978482722822282</v>
      </c>
      <c r="T435" s="24">
        <f t="shared" si="137"/>
        <v>3.9978482722822282</v>
      </c>
      <c r="U435" s="24">
        <f t="shared" si="137"/>
        <v>3.9289780660819651</v>
      </c>
      <c r="V435" s="24">
        <f t="shared" si="137"/>
        <v>3.7927536933464912</v>
      </c>
      <c r="W435" s="24">
        <f t="shared" si="137"/>
        <v>3.5905711128400655</v>
      </c>
      <c r="X435" s="24">
        <f t="shared" si="137"/>
        <v>3.3269243852161603</v>
      </c>
      <c r="Y435" s="24">
        <f t="shared" si="137"/>
        <v>3.0052211474141814</v>
      </c>
      <c r="Z435" s="24">
        <f t="shared" si="137"/>
        <v>2.6310931306152021</v>
      </c>
      <c r="AA435" s="24">
        <f t="shared" si="137"/>
        <v>2.2111856033857689</v>
      </c>
      <c r="AB435" s="24">
        <f t="shared" si="137"/>
        <v>3.5797735273070966E-2</v>
      </c>
      <c r="AC435" s="24">
        <f t="shared" si="137"/>
        <v>2.5841192678900365E-2</v>
      </c>
      <c r="AD435" s="24">
        <f t="shared" si="137"/>
        <v>1.540178469768084E-2</v>
      </c>
      <c r="AE435" s="24">
        <f t="shared" si="137"/>
        <v>4.7596291338606418E-3</v>
      </c>
      <c r="AF435" s="28"/>
      <c r="AG435" s="11"/>
    </row>
    <row r="436" spans="1:33">
      <c r="A436" s="20"/>
      <c r="B436" s="24" t="s">
        <v>1047</v>
      </c>
      <c r="C436" s="11"/>
      <c r="G436" s="19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8"/>
      <c r="AG436" s="11"/>
    </row>
    <row r="437" spans="1:33">
      <c r="A437" s="100" t="s">
        <v>836</v>
      </c>
      <c r="B437" s="5"/>
      <c r="C437" s="11"/>
      <c r="G437" s="19">
        <f>SUM(H437:AE437)/48</f>
        <v>6.4828286712731165E-3</v>
      </c>
      <c r="H437" s="2">
        <f>H435^2/(H424+H429)</f>
        <v>5.0448217846348857E-6</v>
      </c>
      <c r="I437" s="2">
        <f t="shared" ref="I437:AE437" si="138">I435^2/(I424+I429)</f>
        <v>1.6353893616385097E-5</v>
      </c>
      <c r="J437" s="2">
        <f t="shared" si="138"/>
        <v>2.7448749691561894E-5</v>
      </c>
      <c r="K437" s="2">
        <f t="shared" si="138"/>
        <v>3.8030425184241141E-5</v>
      </c>
      <c r="L437" s="2">
        <f t="shared" si="138"/>
        <v>4.7944289658098031E-5</v>
      </c>
      <c r="M437" s="2">
        <f t="shared" si="138"/>
        <v>5.705221182868956E-5</v>
      </c>
      <c r="N437" s="2">
        <f t="shared" si="138"/>
        <v>6.5166899604458275E-5</v>
      </c>
      <c r="O437" s="2">
        <f t="shared" si="138"/>
        <v>7.2144466846470464E-5</v>
      </c>
      <c r="P437" s="2">
        <f t="shared" si="138"/>
        <v>2.6697438494210191E-2</v>
      </c>
      <c r="Q437" s="2">
        <f t="shared" si="138"/>
        <v>2.8201027432920245E-2</v>
      </c>
      <c r="R437" s="2">
        <f t="shared" si="138"/>
        <v>2.9214118886164413E-2</v>
      </c>
      <c r="S437" s="2">
        <f t="shared" si="138"/>
        <v>2.9726308180014857E-2</v>
      </c>
      <c r="T437" s="2">
        <f t="shared" si="138"/>
        <v>2.9726308180014857E-2</v>
      </c>
      <c r="U437" s="2">
        <f t="shared" si="138"/>
        <v>2.9214118886164413E-2</v>
      </c>
      <c r="V437" s="2">
        <f t="shared" si="138"/>
        <v>2.8201027432920245E-2</v>
      </c>
      <c r="W437" s="2">
        <f t="shared" si="138"/>
        <v>2.6697438494210191E-2</v>
      </c>
      <c r="X437" s="2">
        <f t="shared" si="138"/>
        <v>2.4736717586344242E-2</v>
      </c>
      <c r="Y437" s="2">
        <f t="shared" si="138"/>
        <v>2.2344266469161624E-2</v>
      </c>
      <c r="Z437" s="2">
        <f t="shared" si="138"/>
        <v>1.9561922256434643E-2</v>
      </c>
      <c r="AA437" s="2">
        <f t="shared" si="138"/>
        <v>1.6439020274058299E-2</v>
      </c>
      <c r="AB437" s="2">
        <f t="shared" si="138"/>
        <v>3.8030425184241141E-5</v>
      </c>
      <c r="AC437" s="2">
        <f t="shared" si="138"/>
        <v>2.7448749691561894E-5</v>
      </c>
      <c r="AD437" s="2">
        <f t="shared" si="138"/>
        <v>1.6353893616385097E-5</v>
      </c>
      <c r="AE437" s="2">
        <f t="shared" si="138"/>
        <v>5.0448217846348857E-6</v>
      </c>
      <c r="AF437" s="28"/>
      <c r="AG437" s="11"/>
    </row>
    <row r="438" spans="1:33" ht="18">
      <c r="A438" s="100"/>
      <c r="B438" s="24" t="s">
        <v>1048</v>
      </c>
      <c r="C438" s="11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8"/>
      <c r="AG438" s="11"/>
    </row>
    <row r="439" spans="1:33" ht="18">
      <c r="A439" s="20" t="s">
        <v>890</v>
      </c>
      <c r="G439" s="19">
        <f>(SUM(H439:AE439)+24*$Q$24*(1-$H$377))/48</f>
        <v>249.90932413436943</v>
      </c>
      <c r="H439" s="2">
        <f t="shared" ref="H439:AE439" si="139">$Q$24*(1-H$27)*(1-$H$377)</f>
        <v>333.21243217915929</v>
      </c>
      <c r="I439" s="2">
        <f t="shared" si="139"/>
        <v>333.21243217915929</v>
      </c>
      <c r="J439" s="2">
        <f t="shared" si="139"/>
        <v>333.21243217915929</v>
      </c>
      <c r="K439" s="2">
        <f t="shared" si="139"/>
        <v>333.21243217915929</v>
      </c>
      <c r="L439" s="2">
        <f t="shared" si="139"/>
        <v>333.21243217915929</v>
      </c>
      <c r="M439" s="2">
        <f t="shared" si="139"/>
        <v>333.21243217915929</v>
      </c>
      <c r="N439" s="2">
        <f t="shared" si="139"/>
        <v>333.21243217915929</v>
      </c>
      <c r="O439" s="2">
        <f t="shared" si="139"/>
        <v>333.21243217915929</v>
      </c>
      <c r="P439" s="2">
        <f t="shared" si="139"/>
        <v>0</v>
      </c>
      <c r="Q439" s="2">
        <f t="shared" si="139"/>
        <v>0</v>
      </c>
      <c r="R439" s="2">
        <f t="shared" si="139"/>
        <v>0</v>
      </c>
      <c r="S439" s="2">
        <f t="shared" si="139"/>
        <v>0</v>
      </c>
      <c r="T439" s="2">
        <f t="shared" si="139"/>
        <v>0</v>
      </c>
      <c r="U439" s="2">
        <f t="shared" si="139"/>
        <v>0</v>
      </c>
      <c r="V439" s="2">
        <f t="shared" si="139"/>
        <v>0</v>
      </c>
      <c r="W439" s="2">
        <f t="shared" si="139"/>
        <v>0</v>
      </c>
      <c r="X439" s="2">
        <f t="shared" si="139"/>
        <v>0</v>
      </c>
      <c r="Y439" s="2">
        <f t="shared" si="139"/>
        <v>0</v>
      </c>
      <c r="Z439" s="2">
        <f t="shared" si="139"/>
        <v>0</v>
      </c>
      <c r="AA439" s="2">
        <f t="shared" si="139"/>
        <v>0</v>
      </c>
      <c r="AB439" s="2">
        <f t="shared" si="139"/>
        <v>333.21243217915929</v>
      </c>
      <c r="AC439" s="2">
        <f t="shared" si="139"/>
        <v>333.21243217915929</v>
      </c>
      <c r="AD439" s="2">
        <f t="shared" si="139"/>
        <v>333.21243217915929</v>
      </c>
      <c r="AE439" s="2">
        <f t="shared" si="139"/>
        <v>333.21243217915929</v>
      </c>
      <c r="AF439" s="2"/>
    </row>
    <row r="440" spans="1:33">
      <c r="A440" s="14"/>
      <c r="B440" s="5" t="s">
        <v>1010</v>
      </c>
      <c r="D440" t="s">
        <v>1011</v>
      </c>
      <c r="E440" s="12"/>
      <c r="F440" s="6"/>
      <c r="G440" s="2" t="s">
        <v>860</v>
      </c>
      <c r="I440" s="2" t="s">
        <v>998</v>
      </c>
      <c r="J440" s="10"/>
      <c r="K440" s="9"/>
      <c r="AF440" s="2"/>
    </row>
    <row r="441" spans="1:33" ht="18">
      <c r="A441" s="20" t="s">
        <v>891</v>
      </c>
      <c r="D441" s="105" t="s">
        <v>892</v>
      </c>
      <c r="E441">
        <f>$F$7</f>
        <v>-5</v>
      </c>
      <c r="F441" s="5" t="s">
        <v>893</v>
      </c>
      <c r="G441" s="19">
        <f>SUM(H441:AE441)/48</f>
        <v>71.948409482699844</v>
      </c>
      <c r="H441" s="2">
        <f t="shared" ref="H441:AE441" si="140">$M$9*($F$7+273)^4*H$27*(1-$H$377)</f>
        <v>0</v>
      </c>
      <c r="I441" s="2">
        <f t="shared" si="140"/>
        <v>0</v>
      </c>
      <c r="J441" s="2">
        <f t="shared" si="140"/>
        <v>0</v>
      </c>
      <c r="K441" s="2">
        <f t="shared" si="140"/>
        <v>0</v>
      </c>
      <c r="L441" s="2">
        <f t="shared" si="140"/>
        <v>0</v>
      </c>
      <c r="M441" s="2">
        <f t="shared" si="140"/>
        <v>0</v>
      </c>
      <c r="N441" s="2">
        <f t="shared" si="140"/>
        <v>0</v>
      </c>
      <c r="O441" s="2">
        <f t="shared" si="140"/>
        <v>0</v>
      </c>
      <c r="P441" s="2">
        <f t="shared" si="140"/>
        <v>287.79363793079938</v>
      </c>
      <c r="Q441" s="2">
        <f t="shared" si="140"/>
        <v>287.79363793079938</v>
      </c>
      <c r="R441" s="2">
        <f t="shared" si="140"/>
        <v>287.79363793079938</v>
      </c>
      <c r="S441" s="2">
        <f t="shared" si="140"/>
        <v>287.79363793079938</v>
      </c>
      <c r="T441" s="2">
        <f t="shared" si="140"/>
        <v>287.79363793079938</v>
      </c>
      <c r="U441" s="2">
        <f t="shared" si="140"/>
        <v>287.79363793079938</v>
      </c>
      <c r="V441" s="2">
        <f t="shared" si="140"/>
        <v>287.79363793079938</v>
      </c>
      <c r="W441" s="2">
        <f t="shared" si="140"/>
        <v>287.79363793079938</v>
      </c>
      <c r="X441" s="2">
        <f t="shared" si="140"/>
        <v>287.79363793079938</v>
      </c>
      <c r="Y441" s="2">
        <f t="shared" si="140"/>
        <v>287.79363793079938</v>
      </c>
      <c r="Z441" s="2">
        <f t="shared" si="140"/>
        <v>287.79363793079938</v>
      </c>
      <c r="AA441" s="2">
        <f t="shared" si="140"/>
        <v>287.79363793079938</v>
      </c>
      <c r="AB441" s="2">
        <f t="shared" si="140"/>
        <v>0</v>
      </c>
      <c r="AC441" s="2">
        <f t="shared" si="140"/>
        <v>0</v>
      </c>
      <c r="AD441" s="2">
        <f t="shared" si="140"/>
        <v>0</v>
      </c>
      <c r="AE441" s="2">
        <f t="shared" si="140"/>
        <v>0</v>
      </c>
      <c r="AF441" s="2"/>
    </row>
    <row r="442" spans="1:33">
      <c r="A442" s="14"/>
      <c r="B442" t="s">
        <v>999</v>
      </c>
      <c r="D442" t="s">
        <v>744</v>
      </c>
      <c r="E442" s="30"/>
      <c r="F442" t="s">
        <v>618</v>
      </c>
      <c r="H442" s="2" t="s">
        <v>860</v>
      </c>
      <c r="I442" s="2"/>
      <c r="J442" s="2" t="s">
        <v>1000</v>
      </c>
      <c r="K442" s="9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3">
      <c r="A443" s="20" t="s">
        <v>914</v>
      </c>
      <c r="B443" s="11"/>
      <c r="C443" s="11"/>
      <c r="D443" s="11"/>
      <c r="E443" s="27"/>
      <c r="F443" s="6"/>
      <c r="G443" s="19">
        <f>SUM(H443:AE443)/24</f>
        <v>2.5618512323568008</v>
      </c>
      <c r="H443" s="24">
        <f t="shared" ref="H443:AE443" si="141">$M$9*($F$9+273)^4*$F$10*$F$18</f>
        <v>2.5618512323567995</v>
      </c>
      <c r="I443" s="24">
        <f t="shared" si="141"/>
        <v>2.5618512323567995</v>
      </c>
      <c r="J443" s="24">
        <f t="shared" si="141"/>
        <v>2.5618512323567995</v>
      </c>
      <c r="K443" s="24">
        <f t="shared" si="141"/>
        <v>2.5618512323567995</v>
      </c>
      <c r="L443" s="24">
        <f t="shared" si="141"/>
        <v>2.5618512323567995</v>
      </c>
      <c r="M443" s="24">
        <f t="shared" si="141"/>
        <v>2.5618512323567995</v>
      </c>
      <c r="N443" s="24">
        <f t="shared" si="141"/>
        <v>2.5618512323567995</v>
      </c>
      <c r="O443" s="24">
        <f t="shared" si="141"/>
        <v>2.5618512323567995</v>
      </c>
      <c r="P443" s="24">
        <f t="shared" si="141"/>
        <v>2.5618512323567995</v>
      </c>
      <c r="Q443" s="24">
        <f t="shared" si="141"/>
        <v>2.5618512323567995</v>
      </c>
      <c r="R443" s="24">
        <f t="shared" si="141"/>
        <v>2.5618512323567995</v>
      </c>
      <c r="S443" s="24">
        <f t="shared" si="141"/>
        <v>2.5618512323567995</v>
      </c>
      <c r="T443" s="24">
        <f t="shared" si="141"/>
        <v>2.5618512323567995</v>
      </c>
      <c r="U443" s="24">
        <f t="shared" si="141"/>
        <v>2.5618512323567995</v>
      </c>
      <c r="V443" s="24">
        <f t="shared" si="141"/>
        <v>2.5618512323567995</v>
      </c>
      <c r="W443" s="24">
        <f t="shared" si="141"/>
        <v>2.5618512323567995</v>
      </c>
      <c r="X443" s="24">
        <f t="shared" si="141"/>
        <v>2.5618512323567995</v>
      </c>
      <c r="Y443" s="24">
        <f t="shared" si="141"/>
        <v>2.5618512323567995</v>
      </c>
      <c r="Z443" s="24">
        <f t="shared" si="141"/>
        <v>2.5618512323567995</v>
      </c>
      <c r="AA443" s="24">
        <f t="shared" si="141"/>
        <v>2.5618512323567995</v>
      </c>
      <c r="AB443" s="24">
        <f t="shared" si="141"/>
        <v>2.5618512323567995</v>
      </c>
      <c r="AC443" s="24">
        <f t="shared" si="141"/>
        <v>2.5618512323567995</v>
      </c>
      <c r="AD443" s="24">
        <f t="shared" si="141"/>
        <v>2.5618512323567995</v>
      </c>
      <c r="AE443" s="24">
        <f t="shared" si="141"/>
        <v>2.5618512323567995</v>
      </c>
      <c r="AF443" s="28"/>
      <c r="AG443" s="11"/>
    </row>
    <row r="444" spans="1:33">
      <c r="A444" s="20"/>
      <c r="B444" s="5" t="s">
        <v>923</v>
      </c>
      <c r="C444" s="11"/>
      <c r="D444" t="s">
        <v>743</v>
      </c>
      <c r="E444" s="27"/>
      <c r="F444" s="6"/>
      <c r="G444" s="28"/>
      <c r="H444" t="s">
        <v>717</v>
      </c>
      <c r="I444" s="29"/>
      <c r="J444" s="11"/>
      <c r="K444" s="2" t="s">
        <v>719</v>
      </c>
      <c r="L444" s="11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11"/>
    </row>
    <row r="445" spans="1:33">
      <c r="A445" s="20"/>
      <c r="B445" s="27" t="s">
        <v>925</v>
      </c>
      <c r="C445" s="11" t="s">
        <v>924</v>
      </c>
      <c r="E445" s="27"/>
      <c r="F445" s="6"/>
      <c r="G445" s="28"/>
      <c r="I445" s="29"/>
      <c r="J445" s="11"/>
      <c r="K445" s="2"/>
      <c r="L445" s="11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11"/>
    </row>
    <row r="446" spans="1:33">
      <c r="A446" s="20"/>
      <c r="B446" s="14"/>
      <c r="C446" t="s">
        <v>926</v>
      </c>
      <c r="E446" s="27"/>
      <c r="F446" s="6"/>
      <c r="G446" s="28"/>
      <c r="I446" s="29"/>
      <c r="J446" s="11"/>
      <c r="K446" s="2"/>
      <c r="L446" s="11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11"/>
    </row>
    <row r="447" spans="1:33">
      <c r="A447" s="3"/>
      <c r="B447" s="16" t="s">
        <v>741</v>
      </c>
      <c r="E447" s="12"/>
      <c r="F447" s="6"/>
      <c r="G447" s="32">
        <f>G418+G424+G429+G435+G437+G439+G441+G443</f>
        <v>453.4725926438486</v>
      </c>
      <c r="H447" s="2"/>
      <c r="I447" s="29"/>
      <c r="K447" s="10"/>
      <c r="L447" s="3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3">
      <c r="A448" s="20"/>
      <c r="B448" s="16" t="s">
        <v>725</v>
      </c>
      <c r="E448" s="30"/>
      <c r="F448" s="6"/>
      <c r="G448" s="32">
        <f>G415-G447</f>
        <v>2.869182639401572</v>
      </c>
      <c r="H448" s="33"/>
      <c r="I448" s="8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3">
      <c r="A449" s="39" t="s">
        <v>508</v>
      </c>
      <c r="B449" s="16"/>
      <c r="E449" s="30"/>
      <c r="F449" s="6"/>
      <c r="G449" s="32"/>
      <c r="H449" s="3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3">
      <c r="A450" s="3" t="s">
        <v>977</v>
      </c>
      <c r="E450" s="12"/>
      <c r="F450" s="6"/>
      <c r="G450" s="87" t="s">
        <v>535</v>
      </c>
      <c r="H450" s="21"/>
      <c r="I450" s="2"/>
      <c r="J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3">
      <c r="A451" s="20" t="s">
        <v>935</v>
      </c>
      <c r="B451" s="11"/>
      <c r="C451" s="11"/>
      <c r="E451" s="14" t="s">
        <v>563</v>
      </c>
      <c r="F451" s="31">
        <f>$F$15</f>
        <v>0.7</v>
      </c>
      <c r="G451" s="19">
        <f>SUM(H451:AE451)/48</f>
        <v>175.03045469732069</v>
      </c>
      <c r="H451" s="2">
        <f>H$65*$F$15</f>
        <v>36.065735796860359</v>
      </c>
      <c r="I451" s="2">
        <f>I$65*$F$15</f>
        <v>107.32847411213095</v>
      </c>
      <c r="J451" s="2">
        <f t="shared" ref="J451:AE451" si="142">J$65*$F$15</f>
        <v>176.84378316900228</v>
      </c>
      <c r="K451" s="2">
        <f t="shared" si="142"/>
        <v>243.14405022376206</v>
      </c>
      <c r="L451" s="2">
        <f t="shared" si="142"/>
        <v>305.37044574710427</v>
      </c>
      <c r="M451" s="2">
        <f t="shared" si="142"/>
        <v>362.32886194454306</v>
      </c>
      <c r="N451" s="2">
        <f t="shared" si="142"/>
        <v>413.1615967416069</v>
      </c>
      <c r="O451" s="2">
        <f t="shared" si="142"/>
        <v>456.88673333864148</v>
      </c>
      <c r="P451" s="2">
        <f t="shared" si="142"/>
        <v>492.69677038819515</v>
      </c>
      <c r="Q451" s="2">
        <f t="shared" si="142"/>
        <v>520.18423603202552</v>
      </c>
      <c r="R451" s="2">
        <f t="shared" si="142"/>
        <v>538.68607632184217</v>
      </c>
      <c r="S451" s="2">
        <f t="shared" si="142"/>
        <v>548.03414891998227</v>
      </c>
      <c r="T451" s="2">
        <f t="shared" si="142"/>
        <v>548.03414891998227</v>
      </c>
      <c r="U451" s="2">
        <f t="shared" si="142"/>
        <v>538.68607632184217</v>
      </c>
      <c r="V451" s="2">
        <f t="shared" si="142"/>
        <v>520.18423603202552</v>
      </c>
      <c r="W451" s="2">
        <f t="shared" si="142"/>
        <v>492.69677038819515</v>
      </c>
      <c r="X451" s="2">
        <f t="shared" si="142"/>
        <v>456.88673333864148</v>
      </c>
      <c r="Y451" s="2">
        <f t="shared" si="142"/>
        <v>413.1615967416069</v>
      </c>
      <c r="Z451" s="2">
        <f t="shared" si="142"/>
        <v>362.32886194454306</v>
      </c>
      <c r="AA451" s="2">
        <f t="shared" si="142"/>
        <v>305.37044574710427</v>
      </c>
      <c r="AB451" s="2">
        <f t="shared" si="142"/>
        <v>243.14405022376206</v>
      </c>
      <c r="AC451" s="2">
        <f t="shared" si="142"/>
        <v>176.84378316900228</v>
      </c>
      <c r="AD451" s="2">
        <f t="shared" si="142"/>
        <v>107.32847411213095</v>
      </c>
      <c r="AE451" s="2">
        <f t="shared" si="142"/>
        <v>36.065735796860359</v>
      </c>
      <c r="AF451" s="28"/>
      <c r="AG451" s="11"/>
    </row>
    <row r="452" spans="1:33">
      <c r="A452" s="3"/>
      <c r="B452" s="5" t="s">
        <v>986</v>
      </c>
      <c r="C452" s="11"/>
      <c r="D452" t="s">
        <v>1006</v>
      </c>
      <c r="F452" s="27"/>
      <c r="G452" s="2"/>
      <c r="H452" s="2" t="s">
        <v>1019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8"/>
      <c r="AG452" s="11"/>
    </row>
    <row r="453" spans="1:33">
      <c r="A453" s="20" t="s">
        <v>936</v>
      </c>
      <c r="B453" s="11"/>
      <c r="C453" s="11"/>
      <c r="D453" s="24" t="s">
        <v>1013</v>
      </c>
      <c r="E453" s="27"/>
      <c r="F453" s="6" t="s">
        <v>1049</v>
      </c>
      <c r="G453" s="19">
        <f>SUM(H453:AE453)/24</f>
        <v>294.0451576320001</v>
      </c>
      <c r="H453" s="2">
        <f t="shared" ref="H453:AE453" si="143">$M$9*($F$7+273)^4</f>
        <v>294.04515763199998</v>
      </c>
      <c r="I453" s="2">
        <f t="shared" si="143"/>
        <v>294.04515763199998</v>
      </c>
      <c r="J453" s="2">
        <f t="shared" si="143"/>
        <v>294.04515763199998</v>
      </c>
      <c r="K453" s="2">
        <f t="shared" si="143"/>
        <v>294.04515763199998</v>
      </c>
      <c r="L453" s="2">
        <f t="shared" si="143"/>
        <v>294.04515763199998</v>
      </c>
      <c r="M453" s="2">
        <f t="shared" si="143"/>
        <v>294.04515763199998</v>
      </c>
      <c r="N453" s="2">
        <f t="shared" si="143"/>
        <v>294.04515763199998</v>
      </c>
      <c r="O453" s="2">
        <f t="shared" si="143"/>
        <v>294.04515763199998</v>
      </c>
      <c r="P453" s="2">
        <f t="shared" si="143"/>
        <v>294.04515763199998</v>
      </c>
      <c r="Q453" s="2">
        <f t="shared" si="143"/>
        <v>294.04515763199998</v>
      </c>
      <c r="R453" s="2">
        <f t="shared" si="143"/>
        <v>294.04515763199998</v>
      </c>
      <c r="S453" s="2">
        <f t="shared" si="143"/>
        <v>294.04515763199998</v>
      </c>
      <c r="T453" s="2">
        <f t="shared" si="143"/>
        <v>294.04515763199998</v>
      </c>
      <c r="U453" s="2">
        <f t="shared" si="143"/>
        <v>294.04515763199998</v>
      </c>
      <c r="V453" s="2">
        <f t="shared" si="143"/>
        <v>294.04515763199998</v>
      </c>
      <c r="W453" s="2">
        <f t="shared" si="143"/>
        <v>294.04515763199998</v>
      </c>
      <c r="X453" s="2">
        <f t="shared" si="143"/>
        <v>294.04515763199998</v>
      </c>
      <c r="Y453" s="2">
        <f t="shared" si="143"/>
        <v>294.04515763199998</v>
      </c>
      <c r="Z453" s="2">
        <f t="shared" si="143"/>
        <v>294.04515763199998</v>
      </c>
      <c r="AA453" s="2">
        <f t="shared" si="143"/>
        <v>294.04515763199998</v>
      </c>
      <c r="AB453" s="2">
        <f t="shared" si="143"/>
        <v>294.04515763199998</v>
      </c>
      <c r="AC453" s="2">
        <f t="shared" si="143"/>
        <v>294.04515763199998</v>
      </c>
      <c r="AD453" s="2">
        <f t="shared" si="143"/>
        <v>294.04515763199998</v>
      </c>
      <c r="AE453" s="2">
        <f t="shared" si="143"/>
        <v>294.04515763199998</v>
      </c>
      <c r="AF453" s="28"/>
      <c r="AG453" s="11"/>
    </row>
    <row r="454" spans="1:33">
      <c r="A454" s="20"/>
      <c r="B454" s="16" t="s">
        <v>729</v>
      </c>
      <c r="C454" s="11"/>
      <c r="D454" s="11"/>
      <c r="E454" s="21"/>
      <c r="F454" s="21"/>
      <c r="G454" s="82">
        <f>G451+G453</f>
        <v>469.07561232932079</v>
      </c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8"/>
      <c r="AG454" s="11"/>
    </row>
    <row r="455" spans="1:33">
      <c r="A455" s="39" t="s">
        <v>508</v>
      </c>
      <c r="B455" s="16"/>
      <c r="C455" s="11"/>
      <c r="D455" s="11"/>
      <c r="E455" s="21"/>
      <c r="F455" s="21"/>
      <c r="G455" s="82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8"/>
      <c r="AG455" s="11"/>
    </row>
    <row r="456" spans="1:33">
      <c r="A456" s="3" t="s">
        <v>728</v>
      </c>
      <c r="B456" s="16"/>
      <c r="C456" s="11"/>
      <c r="D456" s="11"/>
      <c r="E456" s="21"/>
      <c r="F456" s="21"/>
      <c r="G456" s="82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8"/>
      <c r="AG456" s="11"/>
    </row>
    <row r="457" spans="1:33">
      <c r="A457" s="3" t="s">
        <v>877</v>
      </c>
      <c r="G457" s="19">
        <f>SUM(H457:AE457)/48</f>
        <v>3.3816040460702035</v>
      </c>
      <c r="H457" s="24">
        <f t="shared" ref="H457:AE457" si="144">H$65*H$376*$F$16</f>
        <v>6.1344059981088739</v>
      </c>
      <c r="I457" s="24">
        <f t="shared" si="144"/>
        <v>6.7168351709346243</v>
      </c>
      <c r="J457" s="24">
        <f t="shared" si="144"/>
        <v>6.742262293541728</v>
      </c>
      <c r="K457" s="24">
        <f t="shared" si="144"/>
        <v>6.7669696526966252</v>
      </c>
      <c r="L457" s="24">
        <f t="shared" si="144"/>
        <v>6.9417037082522564</v>
      </c>
      <c r="M457" s="24">
        <f t="shared" si="144"/>
        <v>6.8147080097380188</v>
      </c>
      <c r="N457" s="24">
        <f t="shared" si="144"/>
        <v>6.8193263659236001</v>
      </c>
      <c r="O457" s="24">
        <f t="shared" si="144"/>
        <v>6.8447976845724297</v>
      </c>
      <c r="P457" s="24">
        <f t="shared" si="144"/>
        <v>6.8317826746161208</v>
      </c>
      <c r="Q457" s="24">
        <f t="shared" si="144"/>
        <v>6.8580031631128087</v>
      </c>
      <c r="R457" s="24">
        <f t="shared" si="144"/>
        <v>6.8499493407175844</v>
      </c>
      <c r="S457" s="24">
        <f t="shared" si="144"/>
        <v>6.8377530434702312</v>
      </c>
      <c r="T457" s="24">
        <f t="shared" si="144"/>
        <v>6.8377530434702312</v>
      </c>
      <c r="U457" s="24">
        <f t="shared" si="144"/>
        <v>6.8499493407175844</v>
      </c>
      <c r="V457" s="24">
        <f t="shared" si="144"/>
        <v>6.8580031631128087</v>
      </c>
      <c r="W457" s="24">
        <f t="shared" si="144"/>
        <v>6.8317826746161208</v>
      </c>
      <c r="X457" s="24">
        <f t="shared" si="144"/>
        <v>6.8447976845724297</v>
      </c>
      <c r="Y457" s="24">
        <f t="shared" si="144"/>
        <v>6.8193263659236001</v>
      </c>
      <c r="Z457" s="24">
        <f t="shared" si="144"/>
        <v>6.8147080097380188</v>
      </c>
      <c r="AA457" s="24">
        <f t="shared" si="144"/>
        <v>6.9417037082522564</v>
      </c>
      <c r="AB457" s="24">
        <f t="shared" si="144"/>
        <v>6.7669696526966252</v>
      </c>
      <c r="AC457" s="24">
        <f t="shared" si="144"/>
        <v>6.742262293541728</v>
      </c>
      <c r="AD457" s="24">
        <f t="shared" si="144"/>
        <v>6.7168351709346243</v>
      </c>
      <c r="AE457" s="24">
        <f t="shared" si="144"/>
        <v>6.1344059981088739</v>
      </c>
      <c r="AF457" s="28"/>
      <c r="AG457" s="11"/>
    </row>
    <row r="458" spans="1:33">
      <c r="B458" s="5" t="s">
        <v>987</v>
      </c>
      <c r="D458" t="s">
        <v>772</v>
      </c>
      <c r="G458" t="s">
        <v>894</v>
      </c>
      <c r="J458" s="2"/>
      <c r="K458" s="2" t="s">
        <v>991</v>
      </c>
      <c r="L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3">
      <c r="A459" t="s">
        <v>879</v>
      </c>
      <c r="C459" s="11"/>
      <c r="G459" s="98">
        <f>SUM(H459:AE459)/48</f>
        <v>246.59427058346651</v>
      </c>
      <c r="H459" s="97">
        <f>H$65*(1-($F$16+$F$13)*H$376)</f>
        <v>45.265385591729462</v>
      </c>
      <c r="I459" s="97">
        <f t="shared" ref="I459:AE459" si="145">I$65*(1-($F$16+$F$13)*I$376)</f>
        <v>146.4752197144052</v>
      </c>
      <c r="J459" s="97">
        <f t="shared" si="145"/>
        <v>245.75686841630497</v>
      </c>
      <c r="K459" s="97">
        <f t="shared" si="145"/>
        <v>340.44633413105242</v>
      </c>
      <c r="L459" s="97">
        <f t="shared" si="145"/>
        <v>429.16295614201738</v>
      </c>
      <c r="M459" s="97">
        <f t="shared" si="145"/>
        <v>510.66165775084312</v>
      </c>
      <c r="N459" s="97">
        <f t="shared" si="145"/>
        <v>583.27513959476778</v>
      </c>
      <c r="O459" s="97">
        <f t="shared" si="145"/>
        <v>645.71363970265259</v>
      </c>
      <c r="P459" s="97">
        <f t="shared" si="145"/>
        <v>696.88411079788466</v>
      </c>
      <c r="Q459" s="97">
        <f t="shared" si="145"/>
        <v>736.12517396223302</v>
      </c>
      <c r="R459" s="97">
        <f t="shared" si="145"/>
        <v>762.56458927509971</v>
      </c>
      <c r="S459" s="97">
        <f t="shared" si="145"/>
        <v>775.93141892420658</v>
      </c>
      <c r="T459" s="97">
        <f t="shared" si="145"/>
        <v>775.93141892420658</v>
      </c>
      <c r="U459" s="97">
        <f t="shared" si="145"/>
        <v>762.56458927509971</v>
      </c>
      <c r="V459" s="97">
        <f t="shared" si="145"/>
        <v>736.12517396223302</v>
      </c>
      <c r="W459" s="97">
        <f t="shared" si="145"/>
        <v>696.88411079788466</v>
      </c>
      <c r="X459" s="97">
        <f t="shared" si="145"/>
        <v>645.71363970265259</v>
      </c>
      <c r="Y459" s="97">
        <f t="shared" si="145"/>
        <v>583.27513959476778</v>
      </c>
      <c r="Z459" s="97">
        <f t="shared" si="145"/>
        <v>510.66165775084312</v>
      </c>
      <c r="AA459" s="97">
        <f t="shared" si="145"/>
        <v>429.16295614201738</v>
      </c>
      <c r="AB459" s="97">
        <f t="shared" si="145"/>
        <v>340.44633413105242</v>
      </c>
      <c r="AC459" s="97">
        <f t="shared" si="145"/>
        <v>245.75686841630497</v>
      </c>
      <c r="AD459" s="97">
        <f t="shared" si="145"/>
        <v>146.4752197144052</v>
      </c>
      <c r="AE459" s="97">
        <f t="shared" si="145"/>
        <v>45.265385591729462</v>
      </c>
      <c r="AF459" s="28"/>
      <c r="AG459" s="11"/>
    </row>
    <row r="460" spans="1:33">
      <c r="B460" s="24" t="s">
        <v>989</v>
      </c>
      <c r="D460" s="2" t="s">
        <v>992</v>
      </c>
      <c r="E460" s="106" t="s">
        <v>970</v>
      </c>
      <c r="G460" t="s">
        <v>853</v>
      </c>
      <c r="I460" t="s">
        <v>990</v>
      </c>
      <c r="AF460" s="28"/>
      <c r="AG460" s="11"/>
    </row>
    <row r="461" spans="1:33">
      <c r="A461" t="s">
        <v>895</v>
      </c>
      <c r="C461" s="11"/>
      <c r="D461" s="24"/>
      <c r="G461" s="97">
        <f>SUM(H461:AE461)/48</f>
        <v>172.61598940842657</v>
      </c>
      <c r="H461" s="97">
        <f>H459*$F$15</f>
        <v>31.685769914210621</v>
      </c>
      <c r="I461" s="97">
        <f t="shared" ref="I461:AE461" si="146">I459*$F$15</f>
        <v>102.53265380008364</v>
      </c>
      <c r="J461" s="97">
        <f t="shared" si="146"/>
        <v>172.02980789141347</v>
      </c>
      <c r="K461" s="97">
        <f t="shared" si="146"/>
        <v>238.31243389173667</v>
      </c>
      <c r="L461" s="97">
        <f t="shared" si="146"/>
        <v>300.41406929941212</v>
      </c>
      <c r="M461" s="97">
        <f t="shared" si="146"/>
        <v>357.46316042559016</v>
      </c>
      <c r="N461" s="97">
        <f t="shared" si="146"/>
        <v>408.29259771633741</v>
      </c>
      <c r="O461" s="97">
        <f t="shared" si="146"/>
        <v>451.9995477918568</v>
      </c>
      <c r="P461" s="97">
        <f t="shared" si="146"/>
        <v>487.8188775585192</v>
      </c>
      <c r="Q461" s="97">
        <f t="shared" si="146"/>
        <v>515.28762177356305</v>
      </c>
      <c r="R461" s="97">
        <f t="shared" si="146"/>
        <v>533.79521249256982</v>
      </c>
      <c r="S461" s="97">
        <f t="shared" si="146"/>
        <v>543.15199324694458</v>
      </c>
      <c r="T461" s="97">
        <f t="shared" si="146"/>
        <v>543.15199324694458</v>
      </c>
      <c r="U461" s="97">
        <f t="shared" si="146"/>
        <v>533.79521249256982</v>
      </c>
      <c r="V461" s="97">
        <f t="shared" si="146"/>
        <v>515.28762177356305</v>
      </c>
      <c r="W461" s="97">
        <f t="shared" si="146"/>
        <v>487.8188775585192</v>
      </c>
      <c r="X461" s="97">
        <f t="shared" si="146"/>
        <v>451.9995477918568</v>
      </c>
      <c r="Y461" s="97">
        <f t="shared" si="146"/>
        <v>408.29259771633741</v>
      </c>
      <c r="Z461" s="97">
        <f t="shared" si="146"/>
        <v>357.46316042559016</v>
      </c>
      <c r="AA461" s="97">
        <f t="shared" si="146"/>
        <v>300.41406929941212</v>
      </c>
      <c r="AB461" s="97">
        <f t="shared" si="146"/>
        <v>238.31243389173667</v>
      </c>
      <c r="AC461" s="97">
        <f t="shared" si="146"/>
        <v>172.02980789141347</v>
      </c>
      <c r="AD461" s="97">
        <f t="shared" si="146"/>
        <v>102.53265380008364</v>
      </c>
      <c r="AE461" s="97">
        <f t="shared" si="146"/>
        <v>31.685769914210621</v>
      </c>
      <c r="AF461" s="28"/>
      <c r="AG461" s="11"/>
    </row>
    <row r="462" spans="1:33">
      <c r="B462" s="24" t="s">
        <v>938</v>
      </c>
      <c r="C462" s="14" t="s">
        <v>897</v>
      </c>
      <c r="D462" s="24" t="s">
        <v>1050</v>
      </c>
      <c r="I462" s="24"/>
      <c r="AF462" s="28"/>
      <c r="AG462" s="11"/>
    </row>
    <row r="463" spans="1:33">
      <c r="A463" s="20" t="s">
        <v>896</v>
      </c>
      <c r="B463" s="11"/>
      <c r="C463" s="11"/>
      <c r="E463" s="14" t="s">
        <v>563</v>
      </c>
      <c r="F463" s="31">
        <f>$F$15</f>
        <v>0.7</v>
      </c>
      <c r="G463" s="19">
        <f>SUM(H463:AE463)/48</f>
        <v>170.7443474596802</v>
      </c>
      <c r="H463" s="2">
        <f t="shared" ref="H463:AE463" si="147">H461*(1-($F$16+$F$13)*$H$377)</f>
        <v>31.342207209776316</v>
      </c>
      <c r="I463" s="2">
        <f t="shared" si="147"/>
        <v>101.42091196998896</v>
      </c>
      <c r="J463" s="2">
        <f t="shared" si="147"/>
        <v>170.16452179603027</v>
      </c>
      <c r="K463" s="2">
        <f t="shared" si="147"/>
        <v>235.72845804043672</v>
      </c>
      <c r="L463" s="2">
        <f t="shared" si="147"/>
        <v>297.15673736845179</v>
      </c>
      <c r="M463" s="2">
        <f t="shared" si="147"/>
        <v>353.5872561801209</v>
      </c>
      <c r="N463" s="2">
        <f t="shared" si="147"/>
        <v>403.86555966576373</v>
      </c>
      <c r="O463" s="2">
        <f t="shared" si="147"/>
        <v>447.09860369414662</v>
      </c>
      <c r="P463" s="2">
        <f t="shared" si="147"/>
        <v>482.529551362505</v>
      </c>
      <c r="Q463" s="2">
        <f t="shared" si="147"/>
        <v>509.70045727109499</v>
      </c>
      <c r="R463" s="2">
        <f t="shared" si="147"/>
        <v>528.00737374619985</v>
      </c>
      <c r="S463" s="2">
        <f t="shared" si="147"/>
        <v>537.26270072780926</v>
      </c>
      <c r="T463" s="2">
        <f t="shared" si="147"/>
        <v>537.26270072780926</v>
      </c>
      <c r="U463" s="2">
        <f t="shared" si="147"/>
        <v>528.00737374619985</v>
      </c>
      <c r="V463" s="2">
        <f t="shared" si="147"/>
        <v>509.70045727109499</v>
      </c>
      <c r="W463" s="2">
        <f t="shared" si="147"/>
        <v>482.529551362505</v>
      </c>
      <c r="X463" s="2">
        <f t="shared" si="147"/>
        <v>447.09860369414662</v>
      </c>
      <c r="Y463" s="2">
        <f t="shared" si="147"/>
        <v>403.86555966576373</v>
      </c>
      <c r="Z463" s="2">
        <f t="shared" si="147"/>
        <v>353.5872561801209</v>
      </c>
      <c r="AA463" s="2">
        <f t="shared" si="147"/>
        <v>297.15673736845179</v>
      </c>
      <c r="AB463" s="2">
        <f t="shared" si="147"/>
        <v>235.72845804043672</v>
      </c>
      <c r="AC463" s="2">
        <f t="shared" si="147"/>
        <v>170.16452179603027</v>
      </c>
      <c r="AD463" s="2">
        <f t="shared" si="147"/>
        <v>101.42091196998896</v>
      </c>
      <c r="AE463" s="2">
        <f t="shared" si="147"/>
        <v>31.342207209776316</v>
      </c>
      <c r="AF463" s="28"/>
      <c r="AG463" s="11"/>
    </row>
    <row r="464" spans="1:33">
      <c r="A464" s="3"/>
      <c r="B464" s="5" t="s">
        <v>1051</v>
      </c>
      <c r="C464" s="11"/>
      <c r="D464" t="s">
        <v>993</v>
      </c>
      <c r="F464" s="27"/>
      <c r="G464" s="2"/>
      <c r="H464" s="2" t="s">
        <v>898</v>
      </c>
      <c r="I464" s="2"/>
      <c r="J464" s="2" t="s">
        <v>899</v>
      </c>
      <c r="K464" s="2"/>
      <c r="L464" t="s">
        <v>251</v>
      </c>
      <c r="M464" s="2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11"/>
    </row>
    <row r="465" spans="1:33">
      <c r="A465" t="s">
        <v>834</v>
      </c>
      <c r="B465" s="5"/>
      <c r="C465" s="11"/>
      <c r="D465" s="5" t="s">
        <v>1003</v>
      </c>
      <c r="F465" t="s">
        <v>1052</v>
      </c>
      <c r="G465" s="97">
        <f>SUM(H465:AE465)/48</f>
        <v>1.8349430870062624</v>
      </c>
      <c r="H465" s="97">
        <f t="shared" ref="H465:AE465" si="148">H461*$H$377*$F$16</f>
        <v>0.33682618081794863</v>
      </c>
      <c r="I465" s="97">
        <f t="shared" si="148"/>
        <v>1.0899429706810542</v>
      </c>
      <c r="J465" s="97">
        <f t="shared" si="148"/>
        <v>1.8287118582188235</v>
      </c>
      <c r="K465" s="97">
        <f t="shared" si="148"/>
        <v>2.5333096581372203</v>
      </c>
      <c r="L465" s="97">
        <f t="shared" si="148"/>
        <v>3.1934626774121226</v>
      </c>
      <c r="M465" s="97">
        <f t="shared" si="148"/>
        <v>3.7999061230090603</v>
      </c>
      <c r="N465" s="97">
        <f t="shared" si="148"/>
        <v>4.3402333829153896</v>
      </c>
      <c r="O465" s="97">
        <f t="shared" si="148"/>
        <v>4.8048471546178559</v>
      </c>
      <c r="P465" s="97">
        <f t="shared" si="148"/>
        <v>5.1856139176609917</v>
      </c>
      <c r="Q465" s="97">
        <f t="shared" si="148"/>
        <v>5.477612257321625</v>
      </c>
      <c r="R465" s="97">
        <f t="shared" si="148"/>
        <v>5.6743517121274545</v>
      </c>
      <c r="S465" s="97">
        <f t="shared" si="148"/>
        <v>5.7738161952307507</v>
      </c>
      <c r="T465" s="97">
        <f t="shared" si="148"/>
        <v>5.7738161952307507</v>
      </c>
      <c r="U465" s="97">
        <f t="shared" si="148"/>
        <v>5.6743517121274545</v>
      </c>
      <c r="V465" s="97">
        <f t="shared" si="148"/>
        <v>5.477612257321625</v>
      </c>
      <c r="W465" s="97">
        <f t="shared" si="148"/>
        <v>5.1856139176609917</v>
      </c>
      <c r="X465" s="97">
        <f t="shared" si="148"/>
        <v>4.8048471546178559</v>
      </c>
      <c r="Y465" s="97">
        <f t="shared" si="148"/>
        <v>4.3402333829153896</v>
      </c>
      <c r="Z465" s="97">
        <f t="shared" si="148"/>
        <v>3.7999061230090603</v>
      </c>
      <c r="AA465" s="97">
        <f t="shared" si="148"/>
        <v>3.1934626774121226</v>
      </c>
      <c r="AB465" s="97">
        <f t="shared" si="148"/>
        <v>2.5333096581372203</v>
      </c>
      <c r="AC465" s="97">
        <f t="shared" si="148"/>
        <v>1.8287118582188235</v>
      </c>
      <c r="AD465" s="97">
        <f t="shared" si="148"/>
        <v>1.0899429706810542</v>
      </c>
      <c r="AE465" s="97">
        <f t="shared" si="148"/>
        <v>0.33682618081794863</v>
      </c>
      <c r="AF465" s="28"/>
      <c r="AG465" s="11"/>
    </row>
    <row r="466" spans="1:33">
      <c r="A466" t="s">
        <v>930</v>
      </c>
      <c r="B466" s="5"/>
      <c r="C466" s="11"/>
      <c r="D466" s="5" t="s">
        <v>1053</v>
      </c>
      <c r="G466" s="97">
        <f>SUM(H466:AE466)/48</f>
        <v>1.2844601609043835</v>
      </c>
      <c r="H466" s="97">
        <f>H465*$F$15</f>
        <v>0.23577832657256403</v>
      </c>
      <c r="I466" s="97">
        <f t="shared" ref="I466:AE466" si="149">I465*$F$15</f>
        <v>0.76296007947673783</v>
      </c>
      <c r="J466" s="97">
        <f t="shared" si="149"/>
        <v>1.2800983007531763</v>
      </c>
      <c r="K466" s="97">
        <f t="shared" si="149"/>
        <v>1.773316760696054</v>
      </c>
      <c r="L466" s="97">
        <f t="shared" si="149"/>
        <v>2.2354238741884855</v>
      </c>
      <c r="M466" s="97">
        <f t="shared" si="149"/>
        <v>2.659934286106342</v>
      </c>
      <c r="N466" s="97">
        <f t="shared" si="149"/>
        <v>3.0381633680407725</v>
      </c>
      <c r="O466" s="97">
        <f t="shared" si="149"/>
        <v>3.363393008232499</v>
      </c>
      <c r="P466" s="97">
        <f t="shared" si="149"/>
        <v>3.6299297423626937</v>
      </c>
      <c r="Q466" s="97">
        <f t="shared" si="149"/>
        <v>3.8343285801251374</v>
      </c>
      <c r="R466" s="97">
        <f t="shared" si="149"/>
        <v>3.9720461984892177</v>
      </c>
      <c r="S466" s="97">
        <f t="shared" si="149"/>
        <v>4.0416713366615253</v>
      </c>
      <c r="T466" s="97">
        <f t="shared" si="149"/>
        <v>4.0416713366615253</v>
      </c>
      <c r="U466" s="97">
        <f t="shared" si="149"/>
        <v>3.9720461984892177</v>
      </c>
      <c r="V466" s="97">
        <f t="shared" si="149"/>
        <v>3.8343285801251374</v>
      </c>
      <c r="W466" s="97">
        <f t="shared" si="149"/>
        <v>3.6299297423626937</v>
      </c>
      <c r="X466" s="97">
        <f t="shared" si="149"/>
        <v>3.363393008232499</v>
      </c>
      <c r="Y466" s="97">
        <f t="shared" si="149"/>
        <v>3.0381633680407725</v>
      </c>
      <c r="Z466" s="97">
        <f t="shared" si="149"/>
        <v>2.659934286106342</v>
      </c>
      <c r="AA466" s="97">
        <f t="shared" si="149"/>
        <v>2.2354238741884855</v>
      </c>
      <c r="AB466" s="97">
        <f t="shared" si="149"/>
        <v>1.773316760696054</v>
      </c>
      <c r="AC466" s="97">
        <f t="shared" si="149"/>
        <v>1.2800983007531763</v>
      </c>
      <c r="AD466" s="97">
        <f t="shared" si="149"/>
        <v>0.76296007947673783</v>
      </c>
      <c r="AE466" s="97">
        <f t="shared" si="149"/>
        <v>0.23577832657256403</v>
      </c>
      <c r="AF466" s="28"/>
      <c r="AG466" s="11"/>
    </row>
    <row r="467" spans="1:33">
      <c r="A467" s="20" t="s">
        <v>835</v>
      </c>
      <c r="B467" s="5"/>
      <c r="C467" s="11"/>
      <c r="G467" s="19">
        <f>SUM(H467:AE467)/48</f>
        <v>1.270533006607258</v>
      </c>
      <c r="H467" s="24">
        <f t="shared" ref="H467:AE467" si="150">H466*(1-($F$16+$F$13)*$H$377)</f>
        <v>0.2332218275591714</v>
      </c>
      <c r="I467" s="24">
        <f t="shared" si="150"/>
        <v>0.75468745018636096</v>
      </c>
      <c r="J467" s="24">
        <f t="shared" si="150"/>
        <v>1.2662184412661175</v>
      </c>
      <c r="K467" s="24">
        <f t="shared" si="150"/>
        <v>1.7540890283804766</v>
      </c>
      <c r="L467" s="24">
        <f t="shared" si="150"/>
        <v>2.2111856033857689</v>
      </c>
      <c r="M467" s="24">
        <f t="shared" si="150"/>
        <v>2.6310931306152021</v>
      </c>
      <c r="N467" s="24">
        <f t="shared" si="150"/>
        <v>3.0052211474141814</v>
      </c>
      <c r="O467" s="24">
        <f t="shared" si="150"/>
        <v>3.3269243852161603</v>
      </c>
      <c r="P467" s="24">
        <f t="shared" si="150"/>
        <v>3.5905711128400655</v>
      </c>
      <c r="Q467" s="24">
        <f t="shared" si="150"/>
        <v>3.7927536933464912</v>
      </c>
      <c r="R467" s="24">
        <f t="shared" si="150"/>
        <v>3.9289780660819651</v>
      </c>
      <c r="S467" s="24">
        <f t="shared" si="150"/>
        <v>3.9978482722822282</v>
      </c>
      <c r="T467" s="24">
        <f t="shared" si="150"/>
        <v>3.9978482722822282</v>
      </c>
      <c r="U467" s="24">
        <f t="shared" si="150"/>
        <v>3.9289780660819651</v>
      </c>
      <c r="V467" s="24">
        <f t="shared" si="150"/>
        <v>3.7927536933464912</v>
      </c>
      <c r="W467" s="24">
        <f t="shared" si="150"/>
        <v>3.5905711128400655</v>
      </c>
      <c r="X467" s="24">
        <f t="shared" si="150"/>
        <v>3.3269243852161603</v>
      </c>
      <c r="Y467" s="24">
        <f t="shared" si="150"/>
        <v>3.0052211474141814</v>
      </c>
      <c r="Z467" s="24">
        <f t="shared" si="150"/>
        <v>2.6310931306152021</v>
      </c>
      <c r="AA467" s="24">
        <f t="shared" si="150"/>
        <v>2.2111856033857689</v>
      </c>
      <c r="AB467" s="24">
        <f t="shared" si="150"/>
        <v>1.7540890283804766</v>
      </c>
      <c r="AC467" s="24">
        <f t="shared" si="150"/>
        <v>1.2662184412661175</v>
      </c>
      <c r="AD467" s="24">
        <f t="shared" si="150"/>
        <v>0.75468745018636096</v>
      </c>
      <c r="AE467" s="24">
        <f t="shared" si="150"/>
        <v>0.2332218275591714</v>
      </c>
      <c r="AF467" s="28"/>
      <c r="AG467" s="11"/>
    </row>
    <row r="468" spans="1:33">
      <c r="A468" s="20"/>
      <c r="B468" s="24" t="s">
        <v>1054</v>
      </c>
      <c r="C468" s="11"/>
      <c r="D468" t="s">
        <v>993</v>
      </c>
      <c r="G468" s="27"/>
      <c r="H468" s="24" t="s">
        <v>900</v>
      </c>
      <c r="K468" t="s">
        <v>853</v>
      </c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8"/>
      <c r="AG468" s="11"/>
    </row>
    <row r="469" spans="1:33">
      <c r="A469" s="100" t="s">
        <v>836</v>
      </c>
      <c r="B469" s="5"/>
      <c r="C469" s="11"/>
      <c r="G469" s="19">
        <f>SUM(H469:AE469)/48</f>
        <v>9.4542170496137272E-3</v>
      </c>
      <c r="H469" s="2">
        <f>H467^2/H463</f>
        <v>1.7354368339787408E-3</v>
      </c>
      <c r="I469" s="2">
        <f t="shared" ref="I469:AE469" si="151">I467^2/I463</f>
        <v>5.6157367983175411E-3</v>
      </c>
      <c r="J469" s="2">
        <f t="shared" si="151"/>
        <v>9.4221117544362274E-3</v>
      </c>
      <c r="K469" s="2">
        <f t="shared" si="151"/>
        <v>1.3052426274968327E-2</v>
      </c>
      <c r="L469" s="2">
        <f t="shared" si="151"/>
        <v>1.6453746988607142E-2</v>
      </c>
      <c r="M469" s="2">
        <f t="shared" si="151"/>
        <v>1.9578338701336104E-2</v>
      </c>
      <c r="N469" s="2">
        <f t="shared" si="151"/>
        <v>2.2362278557101264E-2</v>
      </c>
      <c r="O469" s="2">
        <f t="shared" si="151"/>
        <v>2.4756118166089528E-2</v>
      </c>
      <c r="P469" s="2">
        <f t="shared" si="151"/>
        <v>2.6717951014519636E-2</v>
      </c>
      <c r="Q469" s="2">
        <f t="shared" si="151"/>
        <v>2.822242039061482E-2</v>
      </c>
      <c r="R469" s="2">
        <f t="shared" si="151"/>
        <v>2.9236085349015034E-2</v>
      </c>
      <c r="S469" s="2">
        <f t="shared" si="151"/>
        <v>2.9748558361745045E-2</v>
      </c>
      <c r="T469" s="2">
        <f t="shared" si="151"/>
        <v>2.9748558361745045E-2</v>
      </c>
      <c r="U469" s="2">
        <f t="shared" si="151"/>
        <v>2.9236085349015034E-2</v>
      </c>
      <c r="V469" s="2">
        <f t="shared" si="151"/>
        <v>2.822242039061482E-2</v>
      </c>
      <c r="W469" s="2">
        <f t="shared" si="151"/>
        <v>2.6717951014519636E-2</v>
      </c>
      <c r="X469" s="2">
        <f t="shared" si="151"/>
        <v>2.4756118166089528E-2</v>
      </c>
      <c r="Y469" s="2">
        <f t="shared" si="151"/>
        <v>2.2362278557101264E-2</v>
      </c>
      <c r="Z469" s="2">
        <f t="shared" si="151"/>
        <v>1.9578338701336104E-2</v>
      </c>
      <c r="AA469" s="2">
        <f t="shared" si="151"/>
        <v>1.6453746988607142E-2</v>
      </c>
      <c r="AB469" s="2">
        <f t="shared" si="151"/>
        <v>1.3052426274968327E-2</v>
      </c>
      <c r="AC469" s="2">
        <f t="shared" si="151"/>
        <v>9.4221117544362274E-3</v>
      </c>
      <c r="AD469" s="2">
        <f t="shared" si="151"/>
        <v>5.6157367983175411E-3</v>
      </c>
      <c r="AE469" s="2">
        <f t="shared" si="151"/>
        <v>1.7354368339787408E-3</v>
      </c>
      <c r="AF469" s="28"/>
      <c r="AG469" s="11"/>
    </row>
    <row r="470" spans="1:33">
      <c r="A470" s="100"/>
      <c r="B470" s="24" t="s">
        <v>1055</v>
      </c>
      <c r="C470" s="11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8"/>
      <c r="AG470" s="11"/>
    </row>
    <row r="471" spans="1:33">
      <c r="A471" s="20" t="s">
        <v>901</v>
      </c>
      <c r="B471" s="11"/>
      <c r="C471" s="11"/>
      <c r="D471" s="24"/>
      <c r="E471" s="27"/>
      <c r="F471" s="6"/>
      <c r="G471" s="19">
        <f>SUM(H471:AE471)/24</f>
        <v>287.79363793079938</v>
      </c>
      <c r="H471" s="2">
        <f t="shared" ref="H471:AE471" si="152">$M$9*($F$7+273)^4*(1-$H$377)</f>
        <v>287.79363793079938</v>
      </c>
      <c r="I471" s="2">
        <f t="shared" si="152"/>
        <v>287.79363793079938</v>
      </c>
      <c r="J471" s="2">
        <f t="shared" si="152"/>
        <v>287.79363793079938</v>
      </c>
      <c r="K471" s="2">
        <f t="shared" si="152"/>
        <v>287.79363793079938</v>
      </c>
      <c r="L471" s="2">
        <f t="shared" si="152"/>
        <v>287.79363793079938</v>
      </c>
      <c r="M471" s="2">
        <f t="shared" si="152"/>
        <v>287.79363793079938</v>
      </c>
      <c r="N471" s="2">
        <f t="shared" si="152"/>
        <v>287.79363793079938</v>
      </c>
      <c r="O471" s="2">
        <f t="shared" si="152"/>
        <v>287.79363793079938</v>
      </c>
      <c r="P471" s="2">
        <f t="shared" si="152"/>
        <v>287.79363793079938</v>
      </c>
      <c r="Q471" s="2">
        <f t="shared" si="152"/>
        <v>287.79363793079938</v>
      </c>
      <c r="R471" s="2">
        <f t="shared" si="152"/>
        <v>287.79363793079938</v>
      </c>
      <c r="S471" s="2">
        <f t="shared" si="152"/>
        <v>287.79363793079938</v>
      </c>
      <c r="T471" s="2">
        <f t="shared" si="152"/>
        <v>287.79363793079938</v>
      </c>
      <c r="U471" s="2">
        <f t="shared" si="152"/>
        <v>287.79363793079938</v>
      </c>
      <c r="V471" s="2">
        <f t="shared" si="152"/>
        <v>287.79363793079938</v>
      </c>
      <c r="W471" s="2">
        <f t="shared" si="152"/>
        <v>287.79363793079938</v>
      </c>
      <c r="X471" s="2">
        <f t="shared" si="152"/>
        <v>287.79363793079938</v>
      </c>
      <c r="Y471" s="2">
        <f t="shared" si="152"/>
        <v>287.79363793079938</v>
      </c>
      <c r="Z471" s="2">
        <f t="shared" si="152"/>
        <v>287.79363793079938</v>
      </c>
      <c r="AA471" s="2">
        <f t="shared" si="152"/>
        <v>287.79363793079938</v>
      </c>
      <c r="AB471" s="2">
        <f t="shared" si="152"/>
        <v>287.79363793079938</v>
      </c>
      <c r="AC471" s="2">
        <f t="shared" si="152"/>
        <v>287.79363793079938</v>
      </c>
      <c r="AD471" s="2">
        <f t="shared" si="152"/>
        <v>287.79363793079938</v>
      </c>
      <c r="AE471" s="2">
        <f t="shared" si="152"/>
        <v>287.79363793079938</v>
      </c>
      <c r="AF471" s="28"/>
      <c r="AG471" s="11"/>
    </row>
    <row r="472" spans="1:33">
      <c r="A472" s="14"/>
      <c r="B472" s="5" t="s">
        <v>1014</v>
      </c>
      <c r="D472" t="s">
        <v>1056</v>
      </c>
      <c r="E472" s="12"/>
      <c r="F472" s="6"/>
      <c r="G472" s="2"/>
      <c r="H472" s="2" t="s">
        <v>1001</v>
      </c>
      <c r="J472" s="10"/>
      <c r="K472" s="9"/>
      <c r="AF472" s="2"/>
    </row>
    <row r="473" spans="1:33">
      <c r="A473" s="20" t="s">
        <v>914</v>
      </c>
      <c r="B473" s="11"/>
      <c r="C473" s="11"/>
      <c r="D473" s="11"/>
      <c r="E473" s="27"/>
      <c r="F473" s="6"/>
      <c r="G473" s="19">
        <f>SUM(H473:AE473)/24</f>
        <v>2.5618512323568008</v>
      </c>
      <c r="H473" s="24">
        <f t="shared" ref="H473:AE473" si="153">$M$9*($F$9+273)^4*$F$10*$F$18</f>
        <v>2.5618512323567995</v>
      </c>
      <c r="I473" s="24">
        <f t="shared" si="153"/>
        <v>2.5618512323567995</v>
      </c>
      <c r="J473" s="24">
        <f t="shared" si="153"/>
        <v>2.5618512323567995</v>
      </c>
      <c r="K473" s="24">
        <f t="shared" si="153"/>
        <v>2.5618512323567995</v>
      </c>
      <c r="L473" s="24">
        <f t="shared" si="153"/>
        <v>2.5618512323567995</v>
      </c>
      <c r="M473" s="24">
        <f t="shared" si="153"/>
        <v>2.5618512323567995</v>
      </c>
      <c r="N473" s="24">
        <f t="shared" si="153"/>
        <v>2.5618512323567995</v>
      </c>
      <c r="O473" s="24">
        <f t="shared" si="153"/>
        <v>2.5618512323567995</v>
      </c>
      <c r="P473" s="24">
        <f t="shared" si="153"/>
        <v>2.5618512323567995</v>
      </c>
      <c r="Q473" s="24">
        <f t="shared" si="153"/>
        <v>2.5618512323567995</v>
      </c>
      <c r="R473" s="24">
        <f t="shared" si="153"/>
        <v>2.5618512323567995</v>
      </c>
      <c r="S473" s="24">
        <f t="shared" si="153"/>
        <v>2.5618512323567995</v>
      </c>
      <c r="T473" s="24">
        <f t="shared" si="153"/>
        <v>2.5618512323567995</v>
      </c>
      <c r="U473" s="24">
        <f t="shared" si="153"/>
        <v>2.5618512323567995</v>
      </c>
      <c r="V473" s="24">
        <f t="shared" si="153"/>
        <v>2.5618512323567995</v>
      </c>
      <c r="W473" s="24">
        <f t="shared" si="153"/>
        <v>2.5618512323567995</v>
      </c>
      <c r="X473" s="24">
        <f t="shared" si="153"/>
        <v>2.5618512323567995</v>
      </c>
      <c r="Y473" s="24">
        <f t="shared" si="153"/>
        <v>2.5618512323567995</v>
      </c>
      <c r="Z473" s="24">
        <f t="shared" si="153"/>
        <v>2.5618512323567995</v>
      </c>
      <c r="AA473" s="24">
        <f t="shared" si="153"/>
        <v>2.5618512323567995</v>
      </c>
      <c r="AB473" s="24">
        <f t="shared" si="153"/>
        <v>2.5618512323567995</v>
      </c>
      <c r="AC473" s="24">
        <f t="shared" si="153"/>
        <v>2.5618512323567995</v>
      </c>
      <c r="AD473" s="24">
        <f t="shared" si="153"/>
        <v>2.5618512323567995</v>
      </c>
      <c r="AE473" s="24">
        <f t="shared" si="153"/>
        <v>2.5618512323567995</v>
      </c>
      <c r="AF473" s="28"/>
      <c r="AG473" s="11"/>
    </row>
    <row r="474" spans="1:33">
      <c r="A474" s="20"/>
      <c r="B474" s="5" t="s">
        <v>923</v>
      </c>
      <c r="C474" s="11"/>
      <c r="D474" t="s">
        <v>743</v>
      </c>
      <c r="E474" s="27"/>
      <c r="F474" s="6"/>
      <c r="G474" s="28"/>
      <c r="H474" t="s">
        <v>717</v>
      </c>
      <c r="I474" s="29"/>
      <c r="J474" s="11"/>
      <c r="K474" s="2" t="s">
        <v>719</v>
      </c>
      <c r="L474" s="11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11"/>
    </row>
    <row r="475" spans="1:33">
      <c r="A475" s="20"/>
      <c r="B475" s="27" t="s">
        <v>925</v>
      </c>
      <c r="C475" s="11" t="s">
        <v>924</v>
      </c>
      <c r="E475" s="27"/>
      <c r="F475" s="6"/>
      <c r="G475" s="28"/>
      <c r="I475" s="29"/>
      <c r="J475" s="11"/>
      <c r="K475" s="2"/>
      <c r="L475" s="11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11"/>
    </row>
    <row r="476" spans="1:33">
      <c r="A476" s="20"/>
      <c r="B476" s="14"/>
      <c r="C476" t="s">
        <v>926</v>
      </c>
      <c r="E476" s="27"/>
      <c r="F476" s="6"/>
      <c r="G476" s="28"/>
      <c r="I476" s="29"/>
      <c r="J476" s="11"/>
      <c r="K476" s="2"/>
      <c r="L476" s="11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11"/>
    </row>
    <row r="477" spans="1:33">
      <c r="A477" s="20"/>
      <c r="B477" s="16" t="s">
        <v>742</v>
      </c>
      <c r="C477" s="11"/>
      <c r="D477" s="11"/>
      <c r="E477" s="21"/>
      <c r="F477" s="21"/>
      <c r="G477" s="82">
        <f>G457+G463+G467+G469+G471+G473</f>
        <v>465.7614278925634</v>
      </c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8"/>
      <c r="AG477" s="11"/>
    </row>
    <row r="478" spans="1:33">
      <c r="A478" s="20"/>
      <c r="B478" s="16" t="s">
        <v>730</v>
      </c>
      <c r="C478" s="11"/>
      <c r="D478" s="11"/>
      <c r="E478" s="21"/>
      <c r="F478" s="21"/>
      <c r="G478" s="82">
        <f>G454-G477</f>
        <v>3.3141844367573867</v>
      </c>
      <c r="H478" s="24"/>
      <c r="I478" s="32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8"/>
      <c r="AG478" s="11"/>
    </row>
    <row r="479" spans="1:33">
      <c r="G479" s="9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2"/>
    </row>
    <row r="481" spans="1:33" ht="18.75">
      <c r="A481" s="85" t="s">
        <v>509</v>
      </c>
      <c r="B481" s="30" t="s">
        <v>609</v>
      </c>
      <c r="H481" s="4" t="s">
        <v>484</v>
      </c>
      <c r="I481" s="4" t="s">
        <v>486</v>
      </c>
      <c r="J481" s="4" t="s">
        <v>485</v>
      </c>
      <c r="K481" s="4" t="s">
        <v>487</v>
      </c>
      <c r="L481" s="4" t="s">
        <v>488</v>
      </c>
      <c r="M481" s="4" t="s">
        <v>489</v>
      </c>
      <c r="N481" s="4" t="s">
        <v>490</v>
      </c>
      <c r="O481" s="4" t="s">
        <v>491</v>
      </c>
      <c r="P481" s="4" t="s">
        <v>494</v>
      </c>
      <c r="Q481" s="4" t="s">
        <v>492</v>
      </c>
      <c r="R481" s="4" t="s">
        <v>495</v>
      </c>
      <c r="S481" s="4" t="s">
        <v>493</v>
      </c>
      <c r="T481" s="4" t="s">
        <v>515</v>
      </c>
      <c r="U481" s="4" t="s">
        <v>517</v>
      </c>
      <c r="V481" s="4" t="s">
        <v>518</v>
      </c>
      <c r="W481" s="4" t="s">
        <v>516</v>
      </c>
      <c r="X481" s="4" t="s">
        <v>519</v>
      </c>
      <c r="Y481" s="4" t="s">
        <v>520</v>
      </c>
      <c r="Z481" s="4" t="s">
        <v>521</v>
      </c>
      <c r="AA481" s="4" t="s">
        <v>522</v>
      </c>
      <c r="AB481" s="4" t="s">
        <v>523</v>
      </c>
      <c r="AC481" s="4" t="s">
        <v>524</v>
      </c>
      <c r="AD481" s="4" t="s">
        <v>525</v>
      </c>
      <c r="AE481" s="4" t="s">
        <v>526</v>
      </c>
      <c r="AF481" s="2"/>
    </row>
    <row r="482" spans="1:33">
      <c r="A482" s="3" t="s">
        <v>722</v>
      </c>
      <c r="G482" t="s">
        <v>535</v>
      </c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2"/>
    </row>
    <row r="483" spans="1:33">
      <c r="A483" t="s">
        <v>561</v>
      </c>
      <c r="B483" s="11"/>
      <c r="C483" s="11"/>
      <c r="D483" s="5" t="s">
        <v>1059</v>
      </c>
      <c r="E483" s="12"/>
      <c r="F483" s="6"/>
      <c r="G483" s="2">
        <f>SUM(H483:AE483)/48</f>
        <v>217.92951953255195</v>
      </c>
      <c r="H483" s="2">
        <f>H$66</f>
        <v>44.607756663940144</v>
      </c>
      <c r="I483" s="2">
        <f t="shared" ref="I483:AE483" si="154">I$66</f>
        <v>133.39582397075733</v>
      </c>
      <c r="J483" s="2">
        <f t="shared" si="154"/>
        <v>219.97056784972216</v>
      </c>
      <c r="K483" s="2">
        <f t="shared" si="154"/>
        <v>302.62413415426892</v>
      </c>
      <c r="L483" s="2">
        <f t="shared" si="154"/>
        <v>380.2351312927849</v>
      </c>
      <c r="M483" s="2">
        <f t="shared" si="154"/>
        <v>451.13757841429788</v>
      </c>
      <c r="N483" s="2">
        <f t="shared" si="154"/>
        <v>514.51961710846979</v>
      </c>
      <c r="O483" s="2">
        <f t="shared" si="154"/>
        <v>568.83890288496889</v>
      </c>
      <c r="P483" s="2">
        <f t="shared" si="154"/>
        <v>613.57954785965887</v>
      </c>
      <c r="Q483" s="2">
        <f t="shared" si="154"/>
        <v>647.86850187986806</v>
      </c>
      <c r="R483" s="2">
        <f t="shared" si="154"/>
        <v>670.85756111047397</v>
      </c>
      <c r="S483" s="2">
        <f t="shared" si="154"/>
        <v>682.67334559203562</v>
      </c>
      <c r="T483" s="2">
        <f t="shared" si="154"/>
        <v>682.67334559203562</v>
      </c>
      <c r="U483" s="2">
        <f t="shared" si="154"/>
        <v>670.85756111047397</v>
      </c>
      <c r="V483" s="2">
        <f t="shared" si="154"/>
        <v>647.86850187986806</v>
      </c>
      <c r="W483" s="2">
        <f t="shared" si="154"/>
        <v>613.57954785965887</v>
      </c>
      <c r="X483" s="2">
        <f t="shared" si="154"/>
        <v>568.83890288496889</v>
      </c>
      <c r="Y483" s="2">
        <f t="shared" si="154"/>
        <v>514.51961710846979</v>
      </c>
      <c r="Z483" s="2">
        <f t="shared" si="154"/>
        <v>451.13757841429788</v>
      </c>
      <c r="AA483" s="2">
        <f t="shared" si="154"/>
        <v>380.2351312927849</v>
      </c>
      <c r="AB483" s="2">
        <f t="shared" si="154"/>
        <v>302.62413415426892</v>
      </c>
      <c r="AC483" s="2">
        <f t="shared" si="154"/>
        <v>219.97056784972216</v>
      </c>
      <c r="AD483" s="2">
        <f t="shared" si="154"/>
        <v>133.39582397075733</v>
      </c>
      <c r="AE483" s="2">
        <f t="shared" si="154"/>
        <v>44.607756663940144</v>
      </c>
      <c r="AF483" s="2"/>
    </row>
    <row r="484" spans="1:33">
      <c r="A484" s="20" t="s">
        <v>824</v>
      </c>
      <c r="B484" s="11"/>
      <c r="C484" s="11"/>
      <c r="D484" t="s">
        <v>1057</v>
      </c>
      <c r="E484" s="12"/>
      <c r="F484" s="18"/>
      <c r="G484" s="19">
        <f>SUM(H484:AE484)/48</f>
        <v>87.171807813020791</v>
      </c>
      <c r="H484" s="2">
        <f>H$66*$R$20</f>
        <v>17.843102665576058</v>
      </c>
      <c r="I484" s="2">
        <f t="shared" ref="I484:AE484" si="155">I$66*$R$20</f>
        <v>53.358329588302936</v>
      </c>
      <c r="J484" s="2">
        <f t="shared" si="155"/>
        <v>87.988227139888863</v>
      </c>
      <c r="K484" s="2">
        <f t="shared" si="155"/>
        <v>121.04965366170757</v>
      </c>
      <c r="L484" s="2">
        <f t="shared" si="155"/>
        <v>152.09405251711397</v>
      </c>
      <c r="M484" s="2">
        <f t="shared" si="155"/>
        <v>180.45503136571915</v>
      </c>
      <c r="N484" s="2">
        <f t="shared" si="155"/>
        <v>205.80784684338792</v>
      </c>
      <c r="O484" s="2">
        <f t="shared" si="155"/>
        <v>227.53556115398757</v>
      </c>
      <c r="P484" s="2">
        <f t="shared" si="155"/>
        <v>245.43181914386355</v>
      </c>
      <c r="Q484" s="2">
        <f t="shared" si="155"/>
        <v>259.14740075194726</v>
      </c>
      <c r="R484" s="2">
        <f t="shared" si="155"/>
        <v>268.34302444418961</v>
      </c>
      <c r="S484" s="2">
        <f t="shared" si="155"/>
        <v>273.06933823681425</v>
      </c>
      <c r="T484" s="2">
        <f t="shared" si="155"/>
        <v>273.06933823681425</v>
      </c>
      <c r="U484" s="2">
        <f t="shared" si="155"/>
        <v>268.34302444418961</v>
      </c>
      <c r="V484" s="2">
        <f t="shared" si="155"/>
        <v>259.14740075194726</v>
      </c>
      <c r="W484" s="2">
        <f t="shared" si="155"/>
        <v>245.43181914386355</v>
      </c>
      <c r="X484" s="2">
        <f t="shared" si="155"/>
        <v>227.53556115398757</v>
      </c>
      <c r="Y484" s="2">
        <f t="shared" si="155"/>
        <v>205.80784684338792</v>
      </c>
      <c r="Z484" s="2">
        <f t="shared" si="155"/>
        <v>180.45503136571915</v>
      </c>
      <c r="AA484" s="2">
        <f t="shared" si="155"/>
        <v>152.09405251711397</v>
      </c>
      <c r="AB484" s="2">
        <f t="shared" si="155"/>
        <v>121.04965366170757</v>
      </c>
      <c r="AC484" s="2">
        <f t="shared" si="155"/>
        <v>87.988227139888863</v>
      </c>
      <c r="AD484" s="2">
        <f t="shared" si="155"/>
        <v>53.358329588302936</v>
      </c>
      <c r="AE484" s="2">
        <f t="shared" si="155"/>
        <v>17.843102665576058</v>
      </c>
      <c r="AF484" s="2"/>
    </row>
    <row r="485" spans="1:33">
      <c r="A485" s="20"/>
      <c r="B485" s="5" t="s">
        <v>1060</v>
      </c>
      <c r="C485" s="11"/>
      <c r="D485" t="s">
        <v>773</v>
      </c>
      <c r="E485" s="12"/>
      <c r="F485" s="18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3">
      <c r="A486" s="20" t="s">
        <v>1104</v>
      </c>
      <c r="D486" t="s">
        <v>1058</v>
      </c>
      <c r="G486" s="19">
        <f>SUM(H486:AE486)/24</f>
        <v>340.45054939199986</v>
      </c>
      <c r="H486" s="2">
        <f>$R$24</f>
        <v>340.45054939200003</v>
      </c>
      <c r="I486" s="2">
        <f t="shared" ref="I486:AE486" si="156">$R$24</f>
        <v>340.45054939200003</v>
      </c>
      <c r="J486" s="2">
        <f t="shared" si="156"/>
        <v>340.45054939200003</v>
      </c>
      <c r="K486" s="2">
        <f t="shared" si="156"/>
        <v>340.45054939200003</v>
      </c>
      <c r="L486" s="2">
        <f t="shared" si="156"/>
        <v>340.45054939200003</v>
      </c>
      <c r="M486" s="2">
        <f t="shared" si="156"/>
        <v>340.45054939200003</v>
      </c>
      <c r="N486" s="2">
        <f t="shared" si="156"/>
        <v>340.45054939200003</v>
      </c>
      <c r="O486" s="2">
        <f t="shared" si="156"/>
        <v>340.45054939200003</v>
      </c>
      <c r="P486" s="2">
        <f t="shared" si="156"/>
        <v>340.45054939200003</v>
      </c>
      <c r="Q486" s="2">
        <f t="shared" si="156"/>
        <v>340.45054939200003</v>
      </c>
      <c r="R486" s="2">
        <f t="shared" si="156"/>
        <v>340.45054939200003</v>
      </c>
      <c r="S486" s="2">
        <f t="shared" si="156"/>
        <v>340.45054939200003</v>
      </c>
      <c r="T486" s="2">
        <f t="shared" si="156"/>
        <v>340.45054939200003</v>
      </c>
      <c r="U486" s="2">
        <f t="shared" si="156"/>
        <v>340.45054939200003</v>
      </c>
      <c r="V486" s="2">
        <f t="shared" si="156"/>
        <v>340.45054939200003</v>
      </c>
      <c r="W486" s="2">
        <f t="shared" si="156"/>
        <v>340.45054939200003</v>
      </c>
      <c r="X486" s="2">
        <f t="shared" si="156"/>
        <v>340.45054939200003</v>
      </c>
      <c r="Y486" s="2">
        <f t="shared" si="156"/>
        <v>340.45054939200003</v>
      </c>
      <c r="Z486" s="2">
        <f t="shared" si="156"/>
        <v>340.45054939200003</v>
      </c>
      <c r="AA486" s="2">
        <f t="shared" si="156"/>
        <v>340.45054939200003</v>
      </c>
      <c r="AB486" s="2">
        <f t="shared" si="156"/>
        <v>340.45054939200003</v>
      </c>
      <c r="AC486" s="2">
        <f t="shared" si="156"/>
        <v>340.45054939200003</v>
      </c>
      <c r="AD486" s="2">
        <f t="shared" si="156"/>
        <v>340.45054939200003</v>
      </c>
      <c r="AE486" s="2">
        <f t="shared" si="156"/>
        <v>340.45054939200003</v>
      </c>
      <c r="AF486" s="2"/>
    </row>
    <row r="487" spans="1:33">
      <c r="A487" s="20"/>
      <c r="B487" s="16" t="s">
        <v>720</v>
      </c>
      <c r="G487" s="32">
        <f>G484+G486</f>
        <v>427.62235720502065</v>
      </c>
      <c r="H487" s="3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3">
      <c r="A488" s="39" t="s">
        <v>509</v>
      </c>
      <c r="B488" s="16"/>
      <c r="G488" s="32"/>
      <c r="H488" s="3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3">
      <c r="A489" s="3" t="s">
        <v>723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3" s="27" customFormat="1">
      <c r="A490" s="27" t="s">
        <v>1031</v>
      </c>
      <c r="G490" s="55"/>
      <c r="H490" s="101">
        <f ca="1">Tabelle3!D$26</f>
        <v>0.26704252967432113</v>
      </c>
      <c r="I490" s="101">
        <f ca="1">Tabelle3!E$26</f>
        <v>9.937435433405184E-2</v>
      </c>
      <c r="J490" s="101">
        <f ca="1">Tabelle3!F$26</f>
        <v>6.1893171479154054E-2</v>
      </c>
      <c r="K490" s="101">
        <f ca="1">Tabelle3!G$26</f>
        <v>4.5569068839798221E-2</v>
      </c>
      <c r="L490" s="101">
        <f ca="1">Tabelle3!H$26</f>
        <v>3.6339323358221494E-2</v>
      </c>
      <c r="M490" s="101">
        <f ca="1">Tabelle3!I$26</f>
        <v>3.061371861429997E-2</v>
      </c>
      <c r="N490" s="101">
        <f ca="1">Tabelle3!J$26</f>
        <v>2.6480512914754298E-2</v>
      </c>
      <c r="O490" s="101">
        <f ca="1">Tabelle3!K$26</f>
        <v>2.3837373877539422E-2</v>
      </c>
      <c r="P490" s="101">
        <f ca="1">Tabelle3!L$26</f>
        <v>2.2316373995143336E-2</v>
      </c>
      <c r="Q490" s="101">
        <f ca="1">Tabelle3!M$26</f>
        <v>2.1140840700208743E-2</v>
      </c>
      <c r="R490" s="101">
        <f ca="1">Tabelle3!N$26</f>
        <v>2.0342639080191422E-2</v>
      </c>
      <c r="S490" s="101">
        <f ca="1">Tabelle3!O$26</f>
        <v>1.9929025513455177E-2</v>
      </c>
      <c r="T490" s="101">
        <f ca="1">Tabelle3!P$26</f>
        <v>1.9929025513455177E-2</v>
      </c>
      <c r="U490" s="101">
        <f ca="1">Tabelle3!Q$26</f>
        <v>2.0342639080191422E-2</v>
      </c>
      <c r="V490" s="101">
        <f ca="1">Tabelle3!R$26</f>
        <v>2.1140840700208743E-2</v>
      </c>
      <c r="W490" s="101">
        <f ca="1">Tabelle3!S$26</f>
        <v>2.2316373995143336E-2</v>
      </c>
      <c r="X490" s="101">
        <f ca="1">Tabelle3!T$26</f>
        <v>2.3837373877539422E-2</v>
      </c>
      <c r="Y490" s="101">
        <f ca="1">Tabelle3!U$26</f>
        <v>2.6480512914754298E-2</v>
      </c>
      <c r="Z490" s="101">
        <f ca="1">Tabelle3!V$26</f>
        <v>3.061371861429997E-2</v>
      </c>
      <c r="AA490" s="101">
        <f ca="1">Tabelle3!W$26</f>
        <v>3.6339323358221494E-2</v>
      </c>
      <c r="AB490" s="101">
        <f ca="1">Tabelle3!X$26</f>
        <v>4.5569068839798221E-2</v>
      </c>
      <c r="AC490" s="101">
        <f ca="1">Tabelle3!Y$26</f>
        <v>6.1893171479154054E-2</v>
      </c>
      <c r="AD490" s="101">
        <f ca="1">Tabelle3!Z$26</f>
        <v>9.937435433405184E-2</v>
      </c>
      <c r="AE490" s="101">
        <f ca="1">Tabelle3!AA$26</f>
        <v>0.26704252967432113</v>
      </c>
      <c r="AF490" s="55"/>
    </row>
    <row r="491" spans="1:33" s="27" customFormat="1">
      <c r="A491" s="27" t="s">
        <v>830</v>
      </c>
      <c r="F491" s="10">
        <f ca="1">Tabelle3!J$80</f>
        <v>2.1260406910099214</v>
      </c>
      <c r="H491" s="107">
        <f ca="1">$F$10*$F$142</f>
        <v>2.1260406910099214E-2</v>
      </c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55"/>
    </row>
    <row r="492" spans="1:33" ht="15" customHeight="1">
      <c r="A492" s="3" t="s">
        <v>831</v>
      </c>
      <c r="B492" s="11"/>
      <c r="C492" s="11"/>
      <c r="D492" s="11"/>
      <c r="E492" s="27"/>
      <c r="F492" s="6"/>
      <c r="G492" s="19">
        <f>SUM(H492:AE492)/48</f>
        <v>3.3755730541464057</v>
      </c>
      <c r="H492" s="24">
        <f>H$66*H$490*$F$16</f>
        <v>5.9560840913175657</v>
      </c>
      <c r="I492" s="24">
        <f t="shared" ref="I492:AE492" si="157">I$66*I$490*$F$16</f>
        <v>6.6280619389764226</v>
      </c>
      <c r="J492" s="24">
        <f t="shared" si="157"/>
        <v>6.8073380381448727</v>
      </c>
      <c r="K492" s="24">
        <f t="shared" si="157"/>
        <v>6.8951500009301059</v>
      </c>
      <c r="L492" s="24">
        <f t="shared" si="157"/>
        <v>6.9087436941021574</v>
      </c>
      <c r="M492" s="24">
        <f t="shared" si="157"/>
        <v>6.9054994409560013</v>
      </c>
      <c r="N492" s="24">
        <f t="shared" si="157"/>
        <v>6.8123716828676351</v>
      </c>
      <c r="O492" s="24">
        <f t="shared" si="157"/>
        <v>6.7798128020791708</v>
      </c>
      <c r="P492" s="24">
        <f t="shared" si="157"/>
        <v>6.8464353329035488</v>
      </c>
      <c r="Q492" s="24">
        <f t="shared" si="157"/>
        <v>6.8482423964625898</v>
      </c>
      <c r="R492" s="24">
        <f t="shared" si="157"/>
        <v>6.8235066199439167</v>
      </c>
      <c r="S492" s="24">
        <f t="shared" si="157"/>
        <v>6.8025072608297403</v>
      </c>
      <c r="T492" s="24">
        <f t="shared" si="157"/>
        <v>6.8025072608297403</v>
      </c>
      <c r="U492" s="24">
        <f t="shared" si="157"/>
        <v>6.8235066199439167</v>
      </c>
      <c r="V492" s="24">
        <f t="shared" si="157"/>
        <v>6.8482423964625898</v>
      </c>
      <c r="W492" s="24">
        <f t="shared" si="157"/>
        <v>6.8464353329035488</v>
      </c>
      <c r="X492" s="24">
        <f t="shared" si="157"/>
        <v>6.7798128020791708</v>
      </c>
      <c r="Y492" s="24">
        <f t="shared" si="157"/>
        <v>6.8123716828676351</v>
      </c>
      <c r="Z492" s="24">
        <f t="shared" si="157"/>
        <v>6.9054994409560013</v>
      </c>
      <c r="AA492" s="24">
        <f t="shared" si="157"/>
        <v>6.9087436941021574</v>
      </c>
      <c r="AB492" s="24">
        <f t="shared" si="157"/>
        <v>6.8951500009301059</v>
      </c>
      <c r="AC492" s="24">
        <f t="shared" si="157"/>
        <v>6.8073380381448727</v>
      </c>
      <c r="AD492" s="24">
        <f t="shared" si="157"/>
        <v>6.6280619389764226</v>
      </c>
      <c r="AE492" s="24">
        <f t="shared" si="157"/>
        <v>5.9560840913175657</v>
      </c>
      <c r="AF492" s="28"/>
      <c r="AG492" s="11"/>
    </row>
    <row r="493" spans="1:33">
      <c r="A493" s="3"/>
      <c r="B493" s="5" t="s">
        <v>1061</v>
      </c>
      <c r="C493" s="11"/>
      <c r="D493" t="s">
        <v>1062</v>
      </c>
      <c r="F493" s="27"/>
      <c r="G493" t="s">
        <v>854</v>
      </c>
      <c r="I493" s="2"/>
      <c r="K493" s="2"/>
      <c r="M493" s="2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11"/>
    </row>
    <row r="494" spans="1:33">
      <c r="A494" s="3"/>
      <c r="C494" s="11"/>
      <c r="D494" s="2" t="s">
        <v>1063</v>
      </c>
      <c r="F494" s="27"/>
      <c r="G494" s="2"/>
      <c r="I494" s="2"/>
      <c r="K494" s="2"/>
      <c r="M494" s="2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11"/>
    </row>
    <row r="495" spans="1:33">
      <c r="A495" t="s">
        <v>879</v>
      </c>
      <c r="C495" s="11"/>
      <c r="G495" s="98">
        <f>SUM(H495:AE495)/48</f>
        <v>214.48643501732261</v>
      </c>
      <c r="H495" s="97">
        <f>H$66*(1-($F$16+$F$13)*H$490)</f>
        <v>38.53255089079623</v>
      </c>
      <c r="I495" s="97">
        <f t="shared" ref="I495:AE495" si="158">I$66*(1-($F$16+$F$13)*I$490)</f>
        <v>126.63520079300139</v>
      </c>
      <c r="J495" s="97">
        <f t="shared" si="158"/>
        <v>213.02708305081438</v>
      </c>
      <c r="K495" s="97">
        <f t="shared" si="158"/>
        <v>295.5910811533202</v>
      </c>
      <c r="L495" s="97">
        <f t="shared" si="158"/>
        <v>373.18821272480068</v>
      </c>
      <c r="M495" s="97">
        <f t="shared" si="158"/>
        <v>444.09396898452275</v>
      </c>
      <c r="N495" s="97">
        <f t="shared" si="158"/>
        <v>507.57099799194481</v>
      </c>
      <c r="O495" s="97">
        <f t="shared" si="158"/>
        <v>561.92349382684813</v>
      </c>
      <c r="P495" s="97">
        <f t="shared" si="158"/>
        <v>606.59618382009728</v>
      </c>
      <c r="Q495" s="97">
        <f t="shared" si="158"/>
        <v>640.8832946354762</v>
      </c>
      <c r="R495" s="97">
        <f t="shared" si="158"/>
        <v>663.89758435813121</v>
      </c>
      <c r="S495" s="97">
        <f t="shared" si="158"/>
        <v>675.73478818598926</v>
      </c>
      <c r="T495" s="97">
        <f t="shared" si="158"/>
        <v>675.73478818598926</v>
      </c>
      <c r="U495" s="97">
        <f t="shared" si="158"/>
        <v>663.89758435813121</v>
      </c>
      <c r="V495" s="97">
        <f t="shared" si="158"/>
        <v>640.8832946354762</v>
      </c>
      <c r="W495" s="97">
        <f t="shared" si="158"/>
        <v>606.59618382009728</v>
      </c>
      <c r="X495" s="97">
        <f t="shared" si="158"/>
        <v>561.92349382684813</v>
      </c>
      <c r="Y495" s="97">
        <f t="shared" si="158"/>
        <v>507.57099799194481</v>
      </c>
      <c r="Z495" s="97">
        <f t="shared" si="158"/>
        <v>444.09396898452275</v>
      </c>
      <c r="AA495" s="97">
        <f t="shared" si="158"/>
        <v>373.18821272480068</v>
      </c>
      <c r="AB495" s="97">
        <f t="shared" si="158"/>
        <v>295.5910811533202</v>
      </c>
      <c r="AC495" s="97">
        <f t="shared" si="158"/>
        <v>213.02708305081438</v>
      </c>
      <c r="AD495" s="97">
        <f t="shared" si="158"/>
        <v>126.63520079300139</v>
      </c>
      <c r="AE495" s="97">
        <f t="shared" si="158"/>
        <v>38.53255089079623</v>
      </c>
      <c r="AF495" s="28"/>
      <c r="AG495" s="11"/>
    </row>
    <row r="496" spans="1:33">
      <c r="B496" s="24" t="s">
        <v>1064</v>
      </c>
      <c r="D496" s="2" t="s">
        <v>1065</v>
      </c>
      <c r="E496" s="24" t="s">
        <v>900</v>
      </c>
      <c r="H496" t="s">
        <v>853</v>
      </c>
      <c r="AF496" s="28"/>
      <c r="AG496" s="11"/>
    </row>
    <row r="497" spans="1:33">
      <c r="A497" t="s">
        <v>832</v>
      </c>
      <c r="C497" s="11"/>
      <c r="D497" s="24"/>
      <c r="G497" s="97">
        <f>SUM(H497:AE497)/48</f>
        <v>85.794574006929054</v>
      </c>
      <c r="H497" s="97">
        <f>H495*$R$20</f>
        <v>15.413020356318492</v>
      </c>
      <c r="I497" s="97">
        <f t="shared" ref="I497:AE497" si="159">I495*$R$20</f>
        <v>50.65408031720056</v>
      </c>
      <c r="J497" s="97">
        <f t="shared" si="159"/>
        <v>85.210833220325753</v>
      </c>
      <c r="K497" s="97">
        <f t="shared" si="159"/>
        <v>118.23643246132809</v>
      </c>
      <c r="L497" s="97">
        <f t="shared" si="159"/>
        <v>149.27528508992029</v>
      </c>
      <c r="M497" s="97">
        <f t="shared" si="159"/>
        <v>177.63758759380912</v>
      </c>
      <c r="N497" s="97">
        <f t="shared" si="159"/>
        <v>203.02839919677794</v>
      </c>
      <c r="O497" s="97">
        <f t="shared" si="159"/>
        <v>224.76939753073927</v>
      </c>
      <c r="P497" s="97">
        <f t="shared" si="159"/>
        <v>242.63847352803893</v>
      </c>
      <c r="Q497" s="97">
        <f t="shared" si="159"/>
        <v>256.35331785419049</v>
      </c>
      <c r="R497" s="97">
        <f t="shared" si="159"/>
        <v>265.55903374325248</v>
      </c>
      <c r="S497" s="97">
        <f t="shared" si="159"/>
        <v>270.29391527439572</v>
      </c>
      <c r="T497" s="97">
        <f t="shared" si="159"/>
        <v>270.29391527439572</v>
      </c>
      <c r="U497" s="97">
        <f t="shared" si="159"/>
        <v>265.55903374325248</v>
      </c>
      <c r="V497" s="97">
        <f t="shared" si="159"/>
        <v>256.35331785419049</v>
      </c>
      <c r="W497" s="97">
        <f t="shared" si="159"/>
        <v>242.63847352803893</v>
      </c>
      <c r="X497" s="97">
        <f t="shared" si="159"/>
        <v>224.76939753073927</v>
      </c>
      <c r="Y497" s="97">
        <f t="shared" si="159"/>
        <v>203.02839919677794</v>
      </c>
      <c r="Z497" s="97">
        <f t="shared" si="159"/>
        <v>177.63758759380912</v>
      </c>
      <c r="AA497" s="97">
        <f t="shared" si="159"/>
        <v>149.27528508992029</v>
      </c>
      <c r="AB497" s="97">
        <f t="shared" si="159"/>
        <v>118.23643246132809</v>
      </c>
      <c r="AC497" s="97">
        <f t="shared" si="159"/>
        <v>85.210833220325753</v>
      </c>
      <c r="AD497" s="97">
        <f t="shared" si="159"/>
        <v>50.65408031720056</v>
      </c>
      <c r="AE497" s="97">
        <f t="shared" si="159"/>
        <v>15.413020356318492</v>
      </c>
      <c r="AF497" s="28"/>
      <c r="AG497" s="11"/>
    </row>
    <row r="498" spans="1:33">
      <c r="B498" s="24" t="s">
        <v>912</v>
      </c>
      <c r="C498" s="14" t="s">
        <v>1066</v>
      </c>
      <c r="D498" s="24" t="s">
        <v>1067</v>
      </c>
      <c r="AF498" s="28"/>
      <c r="AG498" s="11"/>
    </row>
    <row r="499" spans="1:33">
      <c r="A499" s="20" t="s">
        <v>833</v>
      </c>
      <c r="B499" s="11"/>
      <c r="C499" s="11"/>
      <c r="D499" s="11"/>
      <c r="E499" s="27"/>
      <c r="F499" s="6"/>
      <c r="G499" s="19">
        <f>SUM(H499:AE499)/48</f>
        <v>84.864319954355423</v>
      </c>
      <c r="H499" s="24">
        <f>H497*(1-($F$16+$F$13)*$H$491)</f>
        <v>15.245899943229116</v>
      </c>
      <c r="I499" s="24">
        <f t="shared" ref="I499:AE499" si="160">I497*(1-($F$16+$F$13)*$H$491)</f>
        <v>50.104847874008293</v>
      </c>
      <c r="J499" s="24">
        <f t="shared" si="160"/>
        <v>84.28690855674526</v>
      </c>
      <c r="K499" s="24">
        <f t="shared" si="160"/>
        <v>116.95441758180769</v>
      </c>
      <c r="L499" s="24">
        <f t="shared" si="160"/>
        <v>147.65672190557757</v>
      </c>
      <c r="M499" s="24">
        <f t="shared" si="160"/>
        <v>175.71149742247502</v>
      </c>
      <c r="N499" s="24">
        <f t="shared" si="160"/>
        <v>200.82700134235088</v>
      </c>
      <c r="O499" s="24">
        <f t="shared" si="160"/>
        <v>222.33226621599417</v>
      </c>
      <c r="P499" s="24">
        <f t="shared" si="160"/>
        <v>240.00759126162069</v>
      </c>
      <c r="Q499" s="24">
        <f t="shared" si="160"/>
        <v>253.57372817052013</v>
      </c>
      <c r="R499" s="24">
        <f t="shared" si="160"/>
        <v>262.679628254075</v>
      </c>
      <c r="S499" s="24">
        <f t="shared" si="160"/>
        <v>267.36317037612639</v>
      </c>
      <c r="T499" s="24">
        <f t="shared" si="160"/>
        <v>267.36317037612639</v>
      </c>
      <c r="U499" s="24">
        <f t="shared" si="160"/>
        <v>262.679628254075</v>
      </c>
      <c r="V499" s="24">
        <f t="shared" si="160"/>
        <v>253.57372817052013</v>
      </c>
      <c r="W499" s="24">
        <f t="shared" si="160"/>
        <v>240.00759126162069</v>
      </c>
      <c r="X499" s="24">
        <f t="shared" si="160"/>
        <v>222.33226621599417</v>
      </c>
      <c r="Y499" s="24">
        <f t="shared" si="160"/>
        <v>200.82700134235088</v>
      </c>
      <c r="Z499" s="24">
        <f t="shared" si="160"/>
        <v>175.71149742247502</v>
      </c>
      <c r="AA499" s="24">
        <f t="shared" si="160"/>
        <v>147.65672190557757</v>
      </c>
      <c r="AB499" s="24">
        <f t="shared" si="160"/>
        <v>116.95441758180769</v>
      </c>
      <c r="AC499" s="24">
        <f t="shared" si="160"/>
        <v>84.28690855674526</v>
      </c>
      <c r="AD499" s="24">
        <f t="shared" si="160"/>
        <v>50.104847874008293</v>
      </c>
      <c r="AE499" s="24">
        <f t="shared" si="160"/>
        <v>15.245899943229116</v>
      </c>
      <c r="AF499" s="28"/>
      <c r="AG499" s="11"/>
    </row>
    <row r="500" spans="1:33">
      <c r="A500" s="20"/>
      <c r="B500" s="24" t="s">
        <v>73</v>
      </c>
      <c r="C500" s="11"/>
      <c r="D500" t="s">
        <v>1068</v>
      </c>
      <c r="G500" s="27"/>
      <c r="H500" s="24" t="s">
        <v>900</v>
      </c>
      <c r="K500" t="s">
        <v>853</v>
      </c>
      <c r="M500" s="28"/>
      <c r="O500" s="28"/>
      <c r="P500" s="28"/>
      <c r="Q500" s="11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11"/>
    </row>
    <row r="501" spans="1:33">
      <c r="A501" t="s">
        <v>834</v>
      </c>
      <c r="B501" s="5"/>
      <c r="C501" s="11"/>
      <c r="D501" s="5" t="s">
        <v>23</v>
      </c>
      <c r="F501" t="s">
        <v>1082</v>
      </c>
      <c r="G501" s="97">
        <f>SUM(H501:AE501)/48</f>
        <v>0.91201377703296627</v>
      </c>
      <c r="H501" s="97">
        <f>H497*$H$491*$F$16</f>
        <v>0.16384354224448677</v>
      </c>
      <c r="I501" s="97">
        <f t="shared" ref="I501:AE501" si="161">I497*$H$491*$F$16</f>
        <v>0.53846317960026568</v>
      </c>
      <c r="J501" s="97">
        <f t="shared" si="161"/>
        <v>0.90580849370636263</v>
      </c>
      <c r="K501" s="97">
        <f t="shared" si="161"/>
        <v>1.2568773328631493</v>
      </c>
      <c r="L501" s="97">
        <f t="shared" si="161"/>
        <v>1.5868266513163858</v>
      </c>
      <c r="M501" s="97">
        <f t="shared" si="161"/>
        <v>1.8883236973863868</v>
      </c>
      <c r="N501" s="97">
        <f t="shared" si="161"/>
        <v>2.1582331906147796</v>
      </c>
      <c r="O501" s="97">
        <f t="shared" si="161"/>
        <v>2.3893444262206831</v>
      </c>
      <c r="P501" s="97">
        <f t="shared" si="161"/>
        <v>2.579296339625722</v>
      </c>
      <c r="Q501" s="97">
        <f t="shared" si="161"/>
        <v>2.7250879251670459</v>
      </c>
      <c r="R501" s="97">
        <f t="shared" si="161"/>
        <v>2.8229465580171578</v>
      </c>
      <c r="S501" s="97">
        <f t="shared" si="161"/>
        <v>2.873279312028767</v>
      </c>
      <c r="T501" s="97">
        <f t="shared" si="161"/>
        <v>2.873279312028767</v>
      </c>
      <c r="U501" s="97">
        <f t="shared" si="161"/>
        <v>2.8229465580171578</v>
      </c>
      <c r="V501" s="97">
        <f t="shared" si="161"/>
        <v>2.7250879251670459</v>
      </c>
      <c r="W501" s="97">
        <f t="shared" si="161"/>
        <v>2.579296339625722</v>
      </c>
      <c r="X501" s="97">
        <f t="shared" si="161"/>
        <v>2.3893444262206831</v>
      </c>
      <c r="Y501" s="97">
        <f t="shared" si="161"/>
        <v>2.1582331906147796</v>
      </c>
      <c r="Z501" s="97">
        <f t="shared" si="161"/>
        <v>1.8883236973863868</v>
      </c>
      <c r="AA501" s="97">
        <f t="shared" si="161"/>
        <v>1.5868266513163858</v>
      </c>
      <c r="AB501" s="97">
        <f t="shared" si="161"/>
        <v>1.2568773328631493</v>
      </c>
      <c r="AC501" s="97">
        <f t="shared" si="161"/>
        <v>0.90580849370636263</v>
      </c>
      <c r="AD501" s="97">
        <f t="shared" si="161"/>
        <v>0.53846317960026568</v>
      </c>
      <c r="AE501" s="97">
        <f t="shared" si="161"/>
        <v>0.16384354224448677</v>
      </c>
      <c r="AF501" s="28"/>
      <c r="AG501" s="11"/>
    </row>
    <row r="502" spans="1:33">
      <c r="A502" t="s">
        <v>909</v>
      </c>
      <c r="B502" s="5"/>
      <c r="C502" s="11"/>
      <c r="D502" s="5" t="s">
        <v>1081</v>
      </c>
      <c r="G502" s="97">
        <f>SUM(H502:AE502)/48</f>
        <v>0.36480551081318652</v>
      </c>
      <c r="H502" s="97">
        <f>H501*$R$20</f>
        <v>6.5537416897794715E-2</v>
      </c>
      <c r="I502" s="97">
        <f t="shared" ref="I502:AE502" si="162">I501*$R$20</f>
        <v>0.21538527184010628</v>
      </c>
      <c r="J502" s="97">
        <f t="shared" si="162"/>
        <v>0.36232339748254505</v>
      </c>
      <c r="K502" s="97">
        <f t="shared" si="162"/>
        <v>0.50275093314525976</v>
      </c>
      <c r="L502" s="97">
        <f t="shared" si="162"/>
        <v>0.63473066052655436</v>
      </c>
      <c r="M502" s="97">
        <f t="shared" si="162"/>
        <v>0.75532947895455482</v>
      </c>
      <c r="N502" s="97">
        <f t="shared" si="162"/>
        <v>0.8632932762459119</v>
      </c>
      <c r="O502" s="97">
        <f t="shared" si="162"/>
        <v>0.95573777048827324</v>
      </c>
      <c r="P502" s="97">
        <f t="shared" si="162"/>
        <v>1.0317185358502889</v>
      </c>
      <c r="Q502" s="97">
        <f t="shared" si="162"/>
        <v>1.0900351700668185</v>
      </c>
      <c r="R502" s="97">
        <f t="shared" si="162"/>
        <v>1.1291786232068632</v>
      </c>
      <c r="S502" s="97">
        <f t="shared" si="162"/>
        <v>1.1493117248115068</v>
      </c>
      <c r="T502" s="97">
        <f t="shared" si="162"/>
        <v>1.1493117248115068</v>
      </c>
      <c r="U502" s="97">
        <f t="shared" si="162"/>
        <v>1.1291786232068632</v>
      </c>
      <c r="V502" s="97">
        <f t="shared" si="162"/>
        <v>1.0900351700668185</v>
      </c>
      <c r="W502" s="97">
        <f t="shared" si="162"/>
        <v>1.0317185358502889</v>
      </c>
      <c r="X502" s="97">
        <f t="shared" si="162"/>
        <v>0.95573777048827324</v>
      </c>
      <c r="Y502" s="97">
        <f t="shared" si="162"/>
        <v>0.8632932762459119</v>
      </c>
      <c r="Z502" s="97">
        <f t="shared" si="162"/>
        <v>0.75532947895455482</v>
      </c>
      <c r="AA502" s="97">
        <f t="shared" si="162"/>
        <v>0.63473066052655436</v>
      </c>
      <c r="AB502" s="97">
        <f t="shared" si="162"/>
        <v>0.50275093314525976</v>
      </c>
      <c r="AC502" s="97">
        <f t="shared" si="162"/>
        <v>0.36232339748254505</v>
      </c>
      <c r="AD502" s="97">
        <f t="shared" si="162"/>
        <v>0.21538527184010628</v>
      </c>
      <c r="AE502" s="97">
        <f t="shared" si="162"/>
        <v>6.5537416897794715E-2</v>
      </c>
      <c r="AF502" s="28"/>
      <c r="AG502" s="11"/>
    </row>
    <row r="503" spans="1:33">
      <c r="A503" s="20" t="s">
        <v>835</v>
      </c>
      <c r="B503" s="5"/>
      <c r="C503" s="11"/>
      <c r="G503" s="19">
        <f>SUM(H503:AE503)/48</f>
        <v>0.36084999487568981</v>
      </c>
      <c r="H503" s="24">
        <f>H502*(1-($F$16+$F$13)*$H$491)</f>
        <v>6.4826807300741918E-2</v>
      </c>
      <c r="I503" s="24">
        <f t="shared" ref="I503:AE503" si="163">I502*(1-($F$16+$F$13)*$H$491)</f>
        <v>0.21304989079400716</v>
      </c>
      <c r="J503" s="24">
        <f t="shared" si="163"/>
        <v>0.35839479462214552</v>
      </c>
      <c r="K503" s="24">
        <f t="shared" si="163"/>
        <v>0.49729970154457864</v>
      </c>
      <c r="L503" s="24">
        <f t="shared" si="163"/>
        <v>0.62784839814478799</v>
      </c>
      <c r="M503" s="24">
        <f t="shared" si="163"/>
        <v>0.7471395867969336</v>
      </c>
      <c r="N503" s="24">
        <f t="shared" si="163"/>
        <v>0.85393275341468411</v>
      </c>
      <c r="O503" s="24">
        <f t="shared" si="163"/>
        <v>0.94537488979930806</v>
      </c>
      <c r="P503" s="24">
        <f t="shared" si="163"/>
        <v>1.0205318103469658</v>
      </c>
      <c r="Q503" s="24">
        <f t="shared" si="163"/>
        <v>1.0782161285232292</v>
      </c>
      <c r="R503" s="24">
        <f t="shared" si="163"/>
        <v>1.1169351567350458</v>
      </c>
      <c r="S503" s="24">
        <f t="shared" si="163"/>
        <v>1.1368499589941261</v>
      </c>
      <c r="T503" s="24">
        <f t="shared" si="163"/>
        <v>1.1368499589941261</v>
      </c>
      <c r="U503" s="24">
        <f t="shared" si="163"/>
        <v>1.1169351567350458</v>
      </c>
      <c r="V503" s="24">
        <f t="shared" si="163"/>
        <v>1.0782161285232292</v>
      </c>
      <c r="W503" s="24">
        <f t="shared" si="163"/>
        <v>1.0205318103469658</v>
      </c>
      <c r="X503" s="24">
        <f t="shared" si="163"/>
        <v>0.94537488979930806</v>
      </c>
      <c r="Y503" s="24">
        <f t="shared" si="163"/>
        <v>0.85393275341468411</v>
      </c>
      <c r="Z503" s="24">
        <f t="shared" si="163"/>
        <v>0.7471395867969336</v>
      </c>
      <c r="AA503" s="24">
        <f t="shared" si="163"/>
        <v>0.62784839814478799</v>
      </c>
      <c r="AB503" s="24">
        <f t="shared" si="163"/>
        <v>0.49729970154457864</v>
      </c>
      <c r="AC503" s="24">
        <f t="shared" si="163"/>
        <v>0.35839479462214552</v>
      </c>
      <c r="AD503" s="24">
        <f t="shared" si="163"/>
        <v>0.21304989079400716</v>
      </c>
      <c r="AE503" s="24">
        <f t="shared" si="163"/>
        <v>6.4826807300741918E-2</v>
      </c>
      <c r="AF503" s="28"/>
      <c r="AG503" s="11"/>
    </row>
    <row r="504" spans="1:33">
      <c r="A504" s="20"/>
      <c r="B504" s="24" t="s">
        <v>1069</v>
      </c>
      <c r="C504" s="11"/>
      <c r="D504" t="s">
        <v>1068</v>
      </c>
      <c r="G504" s="27"/>
      <c r="H504" s="24" t="s">
        <v>900</v>
      </c>
      <c r="K504" t="s">
        <v>853</v>
      </c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8"/>
      <c r="AG504" s="11"/>
    </row>
    <row r="505" spans="1:33">
      <c r="A505" s="100" t="s">
        <v>836</v>
      </c>
      <c r="B505" s="5"/>
      <c r="C505" s="11"/>
      <c r="G505" s="19">
        <f>SUM(H505:AE505)/48</f>
        <v>1.5343635449128763E-3</v>
      </c>
      <c r="H505" s="2">
        <f>H503^2/H499</f>
        <v>2.7564886037927279E-4</v>
      </c>
      <c r="I505" s="2">
        <f t="shared" ref="I505:AE505" si="164">I503^2/I499</f>
        <v>9.0590547408655846E-4</v>
      </c>
      <c r="J505" s="2">
        <f t="shared" si="164"/>
        <v>1.5239238336256502E-3</v>
      </c>
      <c r="K505" s="2">
        <f t="shared" si="164"/>
        <v>2.1145588022217273E-3</v>
      </c>
      <c r="L505" s="2">
        <f t="shared" si="164"/>
        <v>2.6696624844824352E-3</v>
      </c>
      <c r="M505" s="2">
        <f t="shared" si="164"/>
        <v>3.1768983267892398E-3</v>
      </c>
      <c r="N505" s="2">
        <f t="shared" si="164"/>
        <v>3.6309915622915194E-3</v>
      </c>
      <c r="O505" s="2">
        <f t="shared" si="164"/>
        <v>4.0198109679446979E-3</v>
      </c>
      <c r="P505" s="2">
        <f t="shared" si="164"/>
        <v>4.3393843105353396E-3</v>
      </c>
      <c r="Q505" s="2">
        <f t="shared" si="164"/>
        <v>4.5846627258871375E-3</v>
      </c>
      <c r="R505" s="2">
        <f t="shared" si="164"/>
        <v>4.7492991848765032E-3</v>
      </c>
      <c r="S505" s="2">
        <f t="shared" si="164"/>
        <v>4.8339785447889449E-3</v>
      </c>
      <c r="T505" s="2">
        <f t="shared" si="164"/>
        <v>4.8339785447889449E-3</v>
      </c>
      <c r="U505" s="2">
        <f t="shared" si="164"/>
        <v>4.7492991848765032E-3</v>
      </c>
      <c r="V505" s="2">
        <f t="shared" si="164"/>
        <v>4.5846627258871375E-3</v>
      </c>
      <c r="W505" s="2">
        <f t="shared" si="164"/>
        <v>4.3393843105353396E-3</v>
      </c>
      <c r="X505" s="2">
        <f t="shared" si="164"/>
        <v>4.0198109679446979E-3</v>
      </c>
      <c r="Y505" s="2">
        <f t="shared" si="164"/>
        <v>3.6309915622915194E-3</v>
      </c>
      <c r="Z505" s="2">
        <f t="shared" si="164"/>
        <v>3.1768983267892398E-3</v>
      </c>
      <c r="AA505" s="2">
        <f t="shared" si="164"/>
        <v>2.6696624844824352E-3</v>
      </c>
      <c r="AB505" s="2">
        <f t="shared" si="164"/>
        <v>2.1145588022217273E-3</v>
      </c>
      <c r="AC505" s="2">
        <f t="shared" si="164"/>
        <v>1.5239238336256502E-3</v>
      </c>
      <c r="AD505" s="2">
        <f t="shared" si="164"/>
        <v>9.0590547408655846E-4</v>
      </c>
      <c r="AE505" s="2">
        <f t="shared" si="164"/>
        <v>2.7564886037927279E-4</v>
      </c>
      <c r="AF505" s="28"/>
      <c r="AG505" s="11"/>
    </row>
    <row r="506" spans="1:33">
      <c r="A506" s="100"/>
      <c r="B506" s="24" t="s">
        <v>1083</v>
      </c>
      <c r="C506" s="11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8"/>
      <c r="AG506" s="11"/>
    </row>
    <row r="507" spans="1:33">
      <c r="A507" s="20" t="s">
        <v>837</v>
      </c>
      <c r="B507" s="11"/>
      <c r="C507" s="11"/>
      <c r="D507" s="11"/>
      <c r="E507" s="27"/>
      <c r="F507" s="6"/>
      <c r="G507" s="19">
        <f>SUM(H507:AE507)/24</f>
        <v>333.35719452341613</v>
      </c>
      <c r="H507" s="24">
        <f>$R$24*(1-$H$491*(1-$F$14))</f>
        <v>333.35719452341607</v>
      </c>
      <c r="I507" s="24">
        <f t="shared" ref="I507:AE507" si="165">$R$24*(1-$H$491*(1-$F$14))</f>
        <v>333.35719452341607</v>
      </c>
      <c r="J507" s="24">
        <f t="shared" si="165"/>
        <v>333.35719452341607</v>
      </c>
      <c r="K507" s="24">
        <f t="shared" si="165"/>
        <v>333.35719452341607</v>
      </c>
      <c r="L507" s="24">
        <f t="shared" si="165"/>
        <v>333.35719452341607</v>
      </c>
      <c r="M507" s="24">
        <f t="shared" si="165"/>
        <v>333.35719452341607</v>
      </c>
      <c r="N507" s="24">
        <f t="shared" si="165"/>
        <v>333.35719452341607</v>
      </c>
      <c r="O507" s="24">
        <f t="shared" si="165"/>
        <v>333.35719452341607</v>
      </c>
      <c r="P507" s="24">
        <f t="shared" si="165"/>
        <v>333.35719452341607</v>
      </c>
      <c r="Q507" s="24">
        <f t="shared" si="165"/>
        <v>333.35719452341607</v>
      </c>
      <c r="R507" s="24">
        <f t="shared" si="165"/>
        <v>333.35719452341607</v>
      </c>
      <c r="S507" s="24">
        <f t="shared" si="165"/>
        <v>333.35719452341607</v>
      </c>
      <c r="T507" s="24">
        <f t="shared" si="165"/>
        <v>333.35719452341607</v>
      </c>
      <c r="U507" s="24">
        <f t="shared" si="165"/>
        <v>333.35719452341607</v>
      </c>
      <c r="V507" s="24">
        <f t="shared" si="165"/>
        <v>333.35719452341607</v>
      </c>
      <c r="W507" s="24">
        <f t="shared" si="165"/>
        <v>333.35719452341607</v>
      </c>
      <c r="X507" s="24">
        <f t="shared" si="165"/>
        <v>333.35719452341607</v>
      </c>
      <c r="Y507" s="24">
        <f t="shared" si="165"/>
        <v>333.35719452341607</v>
      </c>
      <c r="Z507" s="24">
        <f t="shared" si="165"/>
        <v>333.35719452341607</v>
      </c>
      <c r="AA507" s="24">
        <f t="shared" si="165"/>
        <v>333.35719452341607</v>
      </c>
      <c r="AB507" s="24">
        <f t="shared" si="165"/>
        <v>333.35719452341607</v>
      </c>
      <c r="AC507" s="24">
        <f t="shared" si="165"/>
        <v>333.35719452341607</v>
      </c>
      <c r="AD507" s="24">
        <f t="shared" si="165"/>
        <v>333.35719452341607</v>
      </c>
      <c r="AE507" s="24">
        <f t="shared" si="165"/>
        <v>333.35719452341607</v>
      </c>
      <c r="AF507" s="28"/>
      <c r="AG507" s="11"/>
    </row>
    <row r="508" spans="1:33">
      <c r="A508" s="20"/>
      <c r="B508" s="5" t="s">
        <v>1084</v>
      </c>
      <c r="C508" s="11"/>
      <c r="D508" t="s">
        <v>252</v>
      </c>
      <c r="E508" s="2"/>
      <c r="G508" t="s">
        <v>1070</v>
      </c>
      <c r="I508" s="11"/>
      <c r="J508" s="28"/>
      <c r="K508" s="2" t="s">
        <v>844</v>
      </c>
      <c r="L508" s="12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11"/>
    </row>
    <row r="509" spans="1:33">
      <c r="A509" s="12" t="s">
        <v>573</v>
      </c>
      <c r="B509" t="s">
        <v>839</v>
      </c>
      <c r="E509" s="12"/>
      <c r="F509" s="6"/>
      <c r="G509" s="32"/>
      <c r="H509" s="3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3">
      <c r="A510" s="11"/>
      <c r="B510" s="14" t="s">
        <v>870</v>
      </c>
      <c r="E510" s="12"/>
      <c r="F510" s="6"/>
      <c r="G510" s="32"/>
      <c r="H510" s="3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3">
      <c r="A511" s="11"/>
      <c r="B511" s="14" t="s">
        <v>845</v>
      </c>
      <c r="E511" s="12"/>
      <c r="F511" s="6"/>
      <c r="G511" s="32"/>
      <c r="H511" s="3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3">
      <c r="A512" s="11"/>
      <c r="B512" s="14" t="s">
        <v>842</v>
      </c>
      <c r="E512" s="12"/>
      <c r="F512" s="6"/>
      <c r="G512" s="32"/>
      <c r="H512" s="3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3">
      <c r="A513" s="20" t="s">
        <v>914</v>
      </c>
      <c r="B513" s="11"/>
      <c r="C513" s="11"/>
      <c r="D513" s="11"/>
      <c r="E513" s="27"/>
      <c r="F513" s="6"/>
      <c r="G513" s="19">
        <f>SUM(H513:AE513)/24</f>
        <v>2.5618512323568008</v>
      </c>
      <c r="H513" s="24">
        <f t="shared" ref="H513:AE513" si="166">$M$9*($F$9+273)^4*$F$10*$F$18</f>
        <v>2.5618512323567995</v>
      </c>
      <c r="I513" s="24">
        <f t="shared" si="166"/>
        <v>2.5618512323567995</v>
      </c>
      <c r="J513" s="24">
        <f t="shared" si="166"/>
        <v>2.5618512323567995</v>
      </c>
      <c r="K513" s="24">
        <f t="shared" si="166"/>
        <v>2.5618512323567995</v>
      </c>
      <c r="L513" s="24">
        <f t="shared" si="166"/>
        <v>2.5618512323567995</v>
      </c>
      <c r="M513" s="24">
        <f t="shared" si="166"/>
        <v>2.5618512323567995</v>
      </c>
      <c r="N513" s="24">
        <f t="shared" si="166"/>
        <v>2.5618512323567995</v>
      </c>
      <c r="O513" s="24">
        <f t="shared" si="166"/>
        <v>2.5618512323567995</v>
      </c>
      <c r="P513" s="24">
        <f t="shared" si="166"/>
        <v>2.5618512323567995</v>
      </c>
      <c r="Q513" s="24">
        <f t="shared" si="166"/>
        <v>2.5618512323567995</v>
      </c>
      <c r="R513" s="24">
        <f t="shared" si="166"/>
        <v>2.5618512323567995</v>
      </c>
      <c r="S513" s="24">
        <f t="shared" si="166"/>
        <v>2.5618512323567995</v>
      </c>
      <c r="T513" s="24">
        <f t="shared" si="166"/>
        <v>2.5618512323567995</v>
      </c>
      <c r="U513" s="24">
        <f t="shared" si="166"/>
        <v>2.5618512323567995</v>
      </c>
      <c r="V513" s="24">
        <f t="shared" si="166"/>
        <v>2.5618512323567995</v>
      </c>
      <c r="W513" s="24">
        <f t="shared" si="166"/>
        <v>2.5618512323567995</v>
      </c>
      <c r="X513" s="24">
        <f t="shared" si="166"/>
        <v>2.5618512323567995</v>
      </c>
      <c r="Y513" s="24">
        <f t="shared" si="166"/>
        <v>2.5618512323567995</v>
      </c>
      <c r="Z513" s="24">
        <f t="shared" si="166"/>
        <v>2.5618512323567995</v>
      </c>
      <c r="AA513" s="24">
        <f t="shared" si="166"/>
        <v>2.5618512323567995</v>
      </c>
      <c r="AB513" s="24">
        <f t="shared" si="166"/>
        <v>2.5618512323567995</v>
      </c>
      <c r="AC513" s="24">
        <f t="shared" si="166"/>
        <v>2.5618512323567995</v>
      </c>
      <c r="AD513" s="24">
        <f t="shared" si="166"/>
        <v>2.5618512323567995</v>
      </c>
      <c r="AE513" s="24">
        <f t="shared" si="166"/>
        <v>2.5618512323567995</v>
      </c>
      <c r="AF513" s="28"/>
      <c r="AG513" s="11"/>
    </row>
    <row r="514" spans="1:33">
      <c r="A514" s="20"/>
      <c r="B514" s="5" t="s">
        <v>923</v>
      </c>
      <c r="C514" s="11"/>
      <c r="D514" t="s">
        <v>743</v>
      </c>
      <c r="E514" s="27"/>
      <c r="F514" s="6"/>
      <c r="G514" s="28"/>
      <c r="H514" t="s">
        <v>717</v>
      </c>
      <c r="I514" s="29"/>
      <c r="J514" s="11"/>
      <c r="K514" s="2" t="s">
        <v>719</v>
      </c>
      <c r="L514" s="11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11"/>
    </row>
    <row r="515" spans="1:33">
      <c r="A515" s="20"/>
      <c r="B515" s="27" t="s">
        <v>925</v>
      </c>
      <c r="C515" s="11" t="s">
        <v>924</v>
      </c>
      <c r="E515" s="27"/>
      <c r="F515" s="6"/>
      <c r="G515" s="28"/>
      <c r="I515" s="29"/>
      <c r="J515" s="11"/>
      <c r="K515" s="2"/>
      <c r="L515" s="11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11"/>
    </row>
    <row r="516" spans="1:33">
      <c r="A516" s="20"/>
      <c r="B516" s="14"/>
      <c r="C516" t="s">
        <v>926</v>
      </c>
      <c r="E516" s="27"/>
      <c r="F516" s="6"/>
      <c r="G516" s="28"/>
      <c r="I516" s="29"/>
      <c r="J516" s="11"/>
      <c r="K516" s="2"/>
      <c r="L516" s="11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11"/>
    </row>
    <row r="517" spans="1:33">
      <c r="A517" s="20"/>
      <c r="B517" s="16" t="s">
        <v>740</v>
      </c>
      <c r="C517" s="11"/>
      <c r="D517" s="11"/>
      <c r="E517" s="27"/>
      <c r="F517" s="6"/>
      <c r="G517" s="32">
        <f>G492+G499+G503+G505+G507+G513</f>
        <v>424.52132312269538</v>
      </c>
      <c r="H517" s="33"/>
      <c r="I517" s="29"/>
      <c r="J517" s="28"/>
      <c r="K517" s="11"/>
      <c r="L517" s="11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11"/>
    </row>
    <row r="518" spans="1:33">
      <c r="A518" s="20"/>
      <c r="B518" s="16" t="s">
        <v>721</v>
      </c>
      <c r="G518" s="32">
        <f>G487-G517</f>
        <v>3.1010340823252704</v>
      </c>
      <c r="H518" s="33"/>
      <c r="I518" s="8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3">
      <c r="A519" s="39" t="s">
        <v>509</v>
      </c>
      <c r="B519" s="16"/>
      <c r="G519" s="32"/>
      <c r="H519" s="3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3">
      <c r="A520" s="3" t="s">
        <v>771</v>
      </c>
      <c r="G520" t="s">
        <v>535</v>
      </c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3">
      <c r="A521" s="20" t="s">
        <v>873</v>
      </c>
      <c r="B521" s="11"/>
      <c r="C521" s="11"/>
      <c r="D521" s="11"/>
      <c r="E521" s="14" t="s">
        <v>563</v>
      </c>
      <c r="F521" s="31">
        <f>$F$15</f>
        <v>0.7</v>
      </c>
      <c r="G521" s="19">
        <f>SUM(H521:AE521)/48</f>
        <v>104.19338332935867</v>
      </c>
      <c r="H521" s="2">
        <f>H$66*H$27*$F$15</f>
        <v>0</v>
      </c>
      <c r="I521" s="2">
        <f t="shared" ref="I521:AE521" si="167">I$66*I$27*$F$15</f>
        <v>0</v>
      </c>
      <c r="J521" s="2">
        <f t="shared" si="167"/>
        <v>0</v>
      </c>
      <c r="K521" s="2">
        <f t="shared" si="167"/>
        <v>0</v>
      </c>
      <c r="L521" s="2">
        <f t="shared" si="167"/>
        <v>0</v>
      </c>
      <c r="M521" s="2">
        <f t="shared" si="167"/>
        <v>0</v>
      </c>
      <c r="N521" s="2">
        <f t="shared" si="167"/>
        <v>0</v>
      </c>
      <c r="O521" s="2">
        <f t="shared" si="167"/>
        <v>0</v>
      </c>
      <c r="P521" s="2">
        <f t="shared" si="167"/>
        <v>429.50568350176121</v>
      </c>
      <c r="Q521" s="2">
        <f t="shared" si="167"/>
        <v>453.50795131590763</v>
      </c>
      <c r="R521" s="2">
        <f t="shared" si="167"/>
        <v>469.60029277733173</v>
      </c>
      <c r="S521" s="2">
        <f t="shared" si="167"/>
        <v>477.87134191442487</v>
      </c>
      <c r="T521" s="2">
        <f t="shared" si="167"/>
        <v>477.87134191442487</v>
      </c>
      <c r="U521" s="2">
        <f t="shared" si="167"/>
        <v>469.60029277733173</v>
      </c>
      <c r="V521" s="2">
        <f t="shared" si="167"/>
        <v>453.50795131590763</v>
      </c>
      <c r="W521" s="2">
        <f t="shared" si="167"/>
        <v>429.50568350176121</v>
      </c>
      <c r="X521" s="2">
        <f t="shared" si="167"/>
        <v>398.18723201947819</v>
      </c>
      <c r="Y521" s="2">
        <f t="shared" si="167"/>
        <v>360.16373197592884</v>
      </c>
      <c r="Z521" s="2">
        <f t="shared" si="167"/>
        <v>315.79630489000851</v>
      </c>
      <c r="AA521" s="2">
        <f t="shared" si="167"/>
        <v>266.16459190494942</v>
      </c>
      <c r="AB521" s="2">
        <f t="shared" si="167"/>
        <v>0</v>
      </c>
      <c r="AC521" s="2">
        <f t="shared" si="167"/>
        <v>0</v>
      </c>
      <c r="AD521" s="2">
        <f t="shared" si="167"/>
        <v>0</v>
      </c>
      <c r="AE521" s="2">
        <f t="shared" si="167"/>
        <v>0</v>
      </c>
      <c r="AF521" s="2"/>
    </row>
    <row r="522" spans="1:33">
      <c r="A522" s="5"/>
      <c r="B522" s="5" t="s">
        <v>1087</v>
      </c>
      <c r="C522" s="11"/>
      <c r="D522" t="s">
        <v>19</v>
      </c>
      <c r="E522" s="12"/>
      <c r="F522" s="18"/>
      <c r="G522" s="19"/>
      <c r="H522" s="2" t="s">
        <v>860</v>
      </c>
      <c r="I522" s="2"/>
      <c r="J522" s="2" t="s">
        <v>861</v>
      </c>
      <c r="K522" s="26"/>
      <c r="L522" s="2"/>
      <c r="M522" s="2"/>
      <c r="N522" s="2"/>
      <c r="O522" s="26"/>
      <c r="P522" s="2"/>
      <c r="Q522" s="2"/>
      <c r="R522" s="26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3">
      <c r="A523" s="20" t="s">
        <v>874</v>
      </c>
      <c r="G523" s="19">
        <f>SUM(H523:AE523)/48</f>
        <v>27.781579315286326</v>
      </c>
      <c r="H523" s="2">
        <f>H$66*$R$20*H$28^2</f>
        <v>17.843102665576058</v>
      </c>
      <c r="I523" s="2">
        <f t="shared" ref="I523:AE523" si="168">I$66*$R$20*I$28^2</f>
        <v>53.358329588302936</v>
      </c>
      <c r="J523" s="2">
        <f t="shared" si="168"/>
        <v>87.988227139888863</v>
      </c>
      <c r="K523" s="2">
        <f t="shared" si="168"/>
        <v>121.04965366170757</v>
      </c>
      <c r="L523" s="2">
        <f t="shared" si="168"/>
        <v>152.09405251711397</v>
      </c>
      <c r="M523" s="2">
        <f t="shared" si="168"/>
        <v>180.45503136571915</v>
      </c>
      <c r="N523" s="2">
        <f t="shared" si="168"/>
        <v>205.80784684338792</v>
      </c>
      <c r="O523" s="2">
        <f t="shared" si="168"/>
        <v>227.53556115398757</v>
      </c>
      <c r="P523" s="2">
        <f t="shared" si="168"/>
        <v>0.61357954785965996</v>
      </c>
      <c r="Q523" s="2">
        <f t="shared" si="168"/>
        <v>0.64786850187986933</v>
      </c>
      <c r="R523" s="2">
        <f t="shared" si="168"/>
        <v>0.67085756111047523</v>
      </c>
      <c r="S523" s="2">
        <f t="shared" si="168"/>
        <v>0.68267334559203685</v>
      </c>
      <c r="T523" s="2">
        <f t="shared" si="168"/>
        <v>0.68267334559203685</v>
      </c>
      <c r="U523" s="2">
        <f t="shared" si="168"/>
        <v>0.67085756111047523</v>
      </c>
      <c r="V523" s="2">
        <f t="shared" si="168"/>
        <v>0.64786850187986933</v>
      </c>
      <c r="W523" s="2">
        <f t="shared" si="168"/>
        <v>0.61357954785965996</v>
      </c>
      <c r="X523" s="2">
        <f t="shared" si="168"/>
        <v>0.56883890288496997</v>
      </c>
      <c r="Y523" s="2">
        <f t="shared" si="168"/>
        <v>0.51451961710847072</v>
      </c>
      <c r="Z523" s="2">
        <f t="shared" si="168"/>
        <v>0.45113757841429869</v>
      </c>
      <c r="AA523" s="2">
        <f t="shared" si="168"/>
        <v>0.38023513129278558</v>
      </c>
      <c r="AB523" s="2">
        <f t="shared" si="168"/>
        <v>121.04965366170757</v>
      </c>
      <c r="AC523" s="2">
        <f t="shared" si="168"/>
        <v>87.988227139888863</v>
      </c>
      <c r="AD523" s="2">
        <f t="shared" si="168"/>
        <v>53.358329588302936</v>
      </c>
      <c r="AE523" s="2">
        <f t="shared" si="168"/>
        <v>17.843102665576058</v>
      </c>
      <c r="AF523" s="2"/>
    </row>
    <row r="524" spans="1:33">
      <c r="A524" s="16"/>
      <c r="B524" s="5" t="s">
        <v>1088</v>
      </c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3">
      <c r="A525" s="20" t="s">
        <v>875</v>
      </c>
      <c r="E525" s="12"/>
      <c r="F525" s="6"/>
      <c r="G525" s="19">
        <f>(SUM(H525:AE525)+24*$R$24)/48</f>
        <v>255.33791204400003</v>
      </c>
      <c r="H525" s="2">
        <f t="shared" ref="H525:AE525" si="169">$R$24*(1-H$27)</f>
        <v>340.45054939200003</v>
      </c>
      <c r="I525" s="2">
        <f t="shared" si="169"/>
        <v>340.45054939200003</v>
      </c>
      <c r="J525" s="2">
        <f t="shared" si="169"/>
        <v>340.45054939200003</v>
      </c>
      <c r="K525" s="2">
        <f t="shared" si="169"/>
        <v>340.45054939200003</v>
      </c>
      <c r="L525" s="2">
        <f t="shared" si="169"/>
        <v>340.45054939200003</v>
      </c>
      <c r="M525" s="2">
        <f t="shared" si="169"/>
        <v>340.45054939200003</v>
      </c>
      <c r="N525" s="2">
        <f t="shared" si="169"/>
        <v>340.45054939200003</v>
      </c>
      <c r="O525" s="2">
        <f t="shared" si="169"/>
        <v>340.45054939200003</v>
      </c>
      <c r="P525" s="2">
        <f t="shared" si="169"/>
        <v>0</v>
      </c>
      <c r="Q525" s="2">
        <f t="shared" si="169"/>
        <v>0</v>
      </c>
      <c r="R525" s="2">
        <f t="shared" si="169"/>
        <v>0</v>
      </c>
      <c r="S525" s="2">
        <f t="shared" si="169"/>
        <v>0</v>
      </c>
      <c r="T525" s="2">
        <f t="shared" si="169"/>
        <v>0</v>
      </c>
      <c r="U525" s="2">
        <f t="shared" si="169"/>
        <v>0</v>
      </c>
      <c r="V525" s="2">
        <f t="shared" si="169"/>
        <v>0</v>
      </c>
      <c r="W525" s="2">
        <f t="shared" si="169"/>
        <v>0</v>
      </c>
      <c r="X525" s="2">
        <f t="shared" si="169"/>
        <v>0</v>
      </c>
      <c r="Y525" s="2">
        <f t="shared" si="169"/>
        <v>0</v>
      </c>
      <c r="Z525" s="2">
        <f t="shared" si="169"/>
        <v>0</v>
      </c>
      <c r="AA525" s="2">
        <f t="shared" si="169"/>
        <v>0</v>
      </c>
      <c r="AB525" s="2">
        <f t="shared" si="169"/>
        <v>340.45054939200003</v>
      </c>
      <c r="AC525" s="2">
        <f t="shared" si="169"/>
        <v>340.45054939200003</v>
      </c>
      <c r="AD525" s="2">
        <f t="shared" si="169"/>
        <v>340.45054939200003</v>
      </c>
      <c r="AE525" s="2">
        <f t="shared" si="169"/>
        <v>340.45054939200003</v>
      </c>
      <c r="AF525" s="2"/>
    </row>
    <row r="526" spans="1:33">
      <c r="A526" s="20"/>
      <c r="C526" s="5" t="s">
        <v>1085</v>
      </c>
      <c r="D526" t="s">
        <v>1058</v>
      </c>
      <c r="E526" s="12"/>
      <c r="F526" s="6"/>
      <c r="G526" s="19"/>
      <c r="H526" s="2" t="s">
        <v>860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3">
      <c r="A527" s="20" t="s">
        <v>876</v>
      </c>
      <c r="E527" s="12">
        <f>$F$7</f>
        <v>-5</v>
      </c>
      <c r="F527" s="6" t="s">
        <v>558</v>
      </c>
      <c r="G527" s="19">
        <f>SUM(H527:AE527)/48</f>
        <v>73.51128940800001</v>
      </c>
      <c r="H527" s="2">
        <f t="shared" ref="H527:AE527" si="170">$M$9*($F$7+273)^4*H$27</f>
        <v>0</v>
      </c>
      <c r="I527" s="2">
        <f t="shared" si="170"/>
        <v>0</v>
      </c>
      <c r="J527" s="2">
        <f t="shared" si="170"/>
        <v>0</v>
      </c>
      <c r="K527" s="2">
        <f t="shared" si="170"/>
        <v>0</v>
      </c>
      <c r="L527" s="2">
        <f t="shared" si="170"/>
        <v>0</v>
      </c>
      <c r="M527" s="2">
        <f t="shared" si="170"/>
        <v>0</v>
      </c>
      <c r="N527" s="2">
        <f t="shared" si="170"/>
        <v>0</v>
      </c>
      <c r="O527" s="2">
        <f t="shared" si="170"/>
        <v>0</v>
      </c>
      <c r="P527" s="2">
        <f t="shared" si="170"/>
        <v>294.04515763199998</v>
      </c>
      <c r="Q527" s="2">
        <f t="shared" si="170"/>
        <v>294.04515763199998</v>
      </c>
      <c r="R527" s="2">
        <f t="shared" si="170"/>
        <v>294.04515763199998</v>
      </c>
      <c r="S527" s="2">
        <f t="shared" si="170"/>
        <v>294.04515763199998</v>
      </c>
      <c r="T527" s="2">
        <f t="shared" si="170"/>
        <v>294.04515763199998</v>
      </c>
      <c r="U527" s="2">
        <f t="shared" si="170"/>
        <v>294.04515763199998</v>
      </c>
      <c r="V527" s="2">
        <f t="shared" si="170"/>
        <v>294.04515763199998</v>
      </c>
      <c r="W527" s="2">
        <f t="shared" si="170"/>
        <v>294.04515763199998</v>
      </c>
      <c r="X527" s="2">
        <f t="shared" si="170"/>
        <v>294.04515763199998</v>
      </c>
      <c r="Y527" s="2">
        <f t="shared" si="170"/>
        <v>294.04515763199998</v>
      </c>
      <c r="Z527" s="2">
        <f t="shared" si="170"/>
        <v>294.04515763199998</v>
      </c>
      <c r="AA527" s="2">
        <f t="shared" si="170"/>
        <v>294.04515763199998</v>
      </c>
      <c r="AB527" s="2">
        <f t="shared" si="170"/>
        <v>0</v>
      </c>
      <c r="AC527" s="2">
        <f t="shared" si="170"/>
        <v>0</v>
      </c>
      <c r="AD527" s="2">
        <f t="shared" si="170"/>
        <v>0</v>
      </c>
      <c r="AE527" s="2">
        <f t="shared" si="170"/>
        <v>0</v>
      </c>
      <c r="AF527" s="2"/>
    </row>
    <row r="528" spans="1:33">
      <c r="A528" s="20"/>
      <c r="B528" t="s">
        <v>865</v>
      </c>
      <c r="D528" t="s">
        <v>743</v>
      </c>
      <c r="E528" s="30"/>
      <c r="F528" s="6"/>
      <c r="G528" s="19"/>
      <c r="H528" t="s">
        <v>617</v>
      </c>
      <c r="I528" s="2"/>
      <c r="K528" s="2" t="s">
        <v>860</v>
      </c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3">
      <c r="A529" s="20"/>
      <c r="B529" s="16" t="s">
        <v>724</v>
      </c>
      <c r="E529" s="30"/>
      <c r="F529" s="6"/>
      <c r="G529" s="32">
        <f>G521+G523+G525+G527</f>
        <v>460.82416409664506</v>
      </c>
      <c r="H529" s="3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3">
      <c r="A530" s="39" t="s">
        <v>509</v>
      </c>
      <c r="B530" s="16"/>
      <c r="E530" s="30"/>
      <c r="G530" s="32"/>
      <c r="H530" s="33"/>
      <c r="I530" s="3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3">
      <c r="A531" s="3" t="s">
        <v>733</v>
      </c>
      <c r="E531" s="12"/>
      <c r="F531" s="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3">
      <c r="A532" s="3" t="s">
        <v>877</v>
      </c>
      <c r="G532" s="19">
        <f>SUM(H532:AE532)/48</f>
        <v>3.3755730541464057</v>
      </c>
      <c r="H532" s="24">
        <f>H$66*H$490*$F$16</f>
        <v>5.9560840913175657</v>
      </c>
      <c r="I532" s="24">
        <f t="shared" ref="I532:AE532" si="171">I$66*I$490*$F$16</f>
        <v>6.6280619389764226</v>
      </c>
      <c r="J532" s="24">
        <f t="shared" si="171"/>
        <v>6.8073380381448727</v>
      </c>
      <c r="K532" s="24">
        <f t="shared" si="171"/>
        <v>6.8951500009301059</v>
      </c>
      <c r="L532" s="24">
        <f t="shared" si="171"/>
        <v>6.9087436941021574</v>
      </c>
      <c r="M532" s="24">
        <f t="shared" si="171"/>
        <v>6.9054994409560013</v>
      </c>
      <c r="N532" s="24">
        <f t="shared" si="171"/>
        <v>6.8123716828676351</v>
      </c>
      <c r="O532" s="24">
        <f t="shared" si="171"/>
        <v>6.7798128020791708</v>
      </c>
      <c r="P532" s="24">
        <f t="shared" si="171"/>
        <v>6.8464353329035488</v>
      </c>
      <c r="Q532" s="24">
        <f t="shared" si="171"/>
        <v>6.8482423964625898</v>
      </c>
      <c r="R532" s="24">
        <f t="shared" si="171"/>
        <v>6.8235066199439167</v>
      </c>
      <c r="S532" s="24">
        <f t="shared" si="171"/>
        <v>6.8025072608297403</v>
      </c>
      <c r="T532" s="24">
        <f t="shared" si="171"/>
        <v>6.8025072608297403</v>
      </c>
      <c r="U532" s="24">
        <f t="shared" si="171"/>
        <v>6.8235066199439167</v>
      </c>
      <c r="V532" s="24">
        <f t="shared" si="171"/>
        <v>6.8482423964625898</v>
      </c>
      <c r="W532" s="24">
        <f t="shared" si="171"/>
        <v>6.8464353329035488</v>
      </c>
      <c r="X532" s="24">
        <f t="shared" si="171"/>
        <v>6.7798128020791708</v>
      </c>
      <c r="Y532" s="24">
        <f t="shared" si="171"/>
        <v>6.8123716828676351</v>
      </c>
      <c r="Z532" s="24">
        <f t="shared" si="171"/>
        <v>6.9054994409560013</v>
      </c>
      <c r="AA532" s="24">
        <f t="shared" si="171"/>
        <v>6.9087436941021574</v>
      </c>
      <c r="AB532" s="24">
        <f t="shared" si="171"/>
        <v>6.8951500009301059</v>
      </c>
      <c r="AC532" s="24">
        <f t="shared" si="171"/>
        <v>6.8073380381448727</v>
      </c>
      <c r="AD532" s="24">
        <f t="shared" si="171"/>
        <v>6.6280619389764226</v>
      </c>
      <c r="AE532" s="24">
        <f t="shared" si="171"/>
        <v>5.9560840913175657</v>
      </c>
      <c r="AF532" s="2"/>
    </row>
    <row r="533" spans="1:33">
      <c r="B533" s="5" t="s">
        <v>1061</v>
      </c>
      <c r="D533" t="s">
        <v>64</v>
      </c>
      <c r="H533" t="s">
        <v>866</v>
      </c>
      <c r="J533" s="2"/>
      <c r="K533" s="2"/>
      <c r="L533" t="s">
        <v>1076</v>
      </c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3">
      <c r="A534" t="s">
        <v>879</v>
      </c>
      <c r="C534" s="11"/>
      <c r="G534" s="98">
        <f>SUM(H534:AE534)/48</f>
        <v>214.48643501732261</v>
      </c>
      <c r="H534" s="97">
        <f>H$66*(1-($F$16+$F$13)*H$490)</f>
        <v>38.53255089079623</v>
      </c>
      <c r="I534" s="97">
        <f t="shared" ref="I534:AE534" si="172">I$66*(1-($F$16+$F$13)*I$490)</f>
        <v>126.63520079300139</v>
      </c>
      <c r="J534" s="97">
        <f t="shared" si="172"/>
        <v>213.02708305081438</v>
      </c>
      <c r="K534" s="97">
        <f t="shared" si="172"/>
        <v>295.5910811533202</v>
      </c>
      <c r="L534" s="97">
        <f t="shared" si="172"/>
        <v>373.18821272480068</v>
      </c>
      <c r="M534" s="97">
        <f t="shared" si="172"/>
        <v>444.09396898452275</v>
      </c>
      <c r="N534" s="97">
        <f t="shared" si="172"/>
        <v>507.57099799194481</v>
      </c>
      <c r="O534" s="97">
        <f t="shared" si="172"/>
        <v>561.92349382684813</v>
      </c>
      <c r="P534" s="97">
        <f t="shared" si="172"/>
        <v>606.59618382009728</v>
      </c>
      <c r="Q534" s="97">
        <f t="shared" si="172"/>
        <v>640.8832946354762</v>
      </c>
      <c r="R534" s="97">
        <f t="shared" si="172"/>
        <v>663.89758435813121</v>
      </c>
      <c r="S534" s="97">
        <f t="shared" si="172"/>
        <v>675.73478818598926</v>
      </c>
      <c r="T534" s="97">
        <f t="shared" si="172"/>
        <v>675.73478818598926</v>
      </c>
      <c r="U534" s="97">
        <f t="shared" si="172"/>
        <v>663.89758435813121</v>
      </c>
      <c r="V534" s="97">
        <f t="shared" si="172"/>
        <v>640.8832946354762</v>
      </c>
      <c r="W534" s="97">
        <f t="shared" si="172"/>
        <v>606.59618382009728</v>
      </c>
      <c r="X534" s="97">
        <f t="shared" si="172"/>
        <v>561.92349382684813</v>
      </c>
      <c r="Y534" s="97">
        <f t="shared" si="172"/>
        <v>507.57099799194481</v>
      </c>
      <c r="Z534" s="97">
        <f t="shared" si="172"/>
        <v>444.09396898452275</v>
      </c>
      <c r="AA534" s="97">
        <f t="shared" si="172"/>
        <v>373.18821272480068</v>
      </c>
      <c r="AB534" s="97">
        <f t="shared" si="172"/>
        <v>295.5910811533202</v>
      </c>
      <c r="AC534" s="97">
        <f t="shared" si="172"/>
        <v>213.02708305081438</v>
      </c>
      <c r="AD534" s="97">
        <f t="shared" si="172"/>
        <v>126.63520079300139</v>
      </c>
      <c r="AE534" s="97">
        <f t="shared" si="172"/>
        <v>38.53255089079623</v>
      </c>
      <c r="AF534" s="28"/>
      <c r="AG534" s="11"/>
    </row>
    <row r="535" spans="1:33">
      <c r="B535" s="24" t="s">
        <v>1064</v>
      </c>
      <c r="D535" s="2" t="s">
        <v>1065</v>
      </c>
      <c r="E535" s="106" t="s">
        <v>970</v>
      </c>
      <c r="G535" t="s">
        <v>853</v>
      </c>
      <c r="I535" t="s">
        <v>1076</v>
      </c>
      <c r="AF535" s="28"/>
      <c r="AG535" s="11"/>
    </row>
    <row r="536" spans="1:33">
      <c r="A536" t="s">
        <v>878</v>
      </c>
      <c r="C536" s="11"/>
      <c r="D536" s="24"/>
      <c r="G536" s="97">
        <f>SUM(H536:AE536)/48</f>
        <v>129.92582635397591</v>
      </c>
      <c r="H536" s="97">
        <f>H534*($R$20*(1-H$27)+$F$15*H$27)</f>
        <v>15.413020356318492</v>
      </c>
      <c r="I536" s="97">
        <f>I534*($R$20*(1-I$27)+$F$15*I$27)</f>
        <v>50.65408031720056</v>
      </c>
      <c r="J536" s="97">
        <f t="shared" ref="J536:AE536" si="173">J534*($R$20*(1-J$27)+$F$15*J$27)</f>
        <v>85.210833220325753</v>
      </c>
      <c r="K536" s="97">
        <f t="shared" si="173"/>
        <v>118.23643246132809</v>
      </c>
      <c r="L536" s="97">
        <f t="shared" si="173"/>
        <v>149.27528508992029</v>
      </c>
      <c r="M536" s="97">
        <f t="shared" si="173"/>
        <v>177.63758759380912</v>
      </c>
      <c r="N536" s="97">
        <f t="shared" si="173"/>
        <v>203.02839919677794</v>
      </c>
      <c r="O536" s="97">
        <f t="shared" si="173"/>
        <v>224.76939753073927</v>
      </c>
      <c r="P536" s="97">
        <f t="shared" si="173"/>
        <v>424.61732867406806</v>
      </c>
      <c r="Q536" s="97">
        <f t="shared" si="173"/>
        <v>448.61830624483332</v>
      </c>
      <c r="R536" s="97">
        <f t="shared" si="173"/>
        <v>464.72830905069179</v>
      </c>
      <c r="S536" s="97">
        <f t="shared" si="173"/>
        <v>473.01435173019246</v>
      </c>
      <c r="T536" s="97">
        <f t="shared" si="173"/>
        <v>473.01435173019246</v>
      </c>
      <c r="U536" s="97">
        <f t="shared" si="173"/>
        <v>464.72830905069179</v>
      </c>
      <c r="V536" s="97">
        <f t="shared" si="173"/>
        <v>448.61830624483332</v>
      </c>
      <c r="W536" s="97">
        <f t="shared" si="173"/>
        <v>424.61732867406806</v>
      </c>
      <c r="X536" s="97">
        <f t="shared" si="173"/>
        <v>393.34644567879366</v>
      </c>
      <c r="Y536" s="97">
        <f t="shared" si="173"/>
        <v>355.29969859436136</v>
      </c>
      <c r="Z536" s="97">
        <f t="shared" si="173"/>
        <v>310.86577828916592</v>
      </c>
      <c r="AA536" s="97">
        <f t="shared" si="173"/>
        <v>261.23174890736044</v>
      </c>
      <c r="AB536" s="97">
        <f t="shared" si="173"/>
        <v>118.23643246132809</v>
      </c>
      <c r="AC536" s="97">
        <f t="shared" si="173"/>
        <v>85.210833220325753</v>
      </c>
      <c r="AD536" s="97">
        <f t="shared" si="173"/>
        <v>50.65408031720056</v>
      </c>
      <c r="AE536" s="97">
        <f t="shared" si="173"/>
        <v>15.413020356318492</v>
      </c>
      <c r="AF536" s="28"/>
      <c r="AG536" s="11"/>
    </row>
    <row r="537" spans="1:33">
      <c r="B537" s="24" t="s">
        <v>917</v>
      </c>
      <c r="D537" s="14" t="s">
        <v>1066</v>
      </c>
      <c r="G537" t="s">
        <v>888</v>
      </c>
      <c r="I537" s="24" t="s">
        <v>1090</v>
      </c>
      <c r="M537" s="2" t="s">
        <v>860</v>
      </c>
      <c r="AF537" s="28"/>
      <c r="AG537" s="11"/>
    </row>
    <row r="538" spans="1:33" ht="18">
      <c r="A538" s="20" t="s">
        <v>881</v>
      </c>
      <c r="G538" s="19">
        <f>SUM(H538:AE538)/48</f>
        <v>101.9019752545933</v>
      </c>
      <c r="H538" s="2">
        <f>H$66*H$27*$F$15*(1-H$490*$F$16)*(1-$H$491*$F$16)</f>
        <v>0</v>
      </c>
      <c r="I538" s="2">
        <f t="shared" ref="I538:AE538" si="174">I$66*I$27*$F$15*(1-I$490*$F$16)*(1-$H$491*$F$16)</f>
        <v>0</v>
      </c>
      <c r="J538" s="2">
        <f t="shared" si="174"/>
        <v>0</v>
      </c>
      <c r="K538" s="2">
        <f t="shared" si="174"/>
        <v>0</v>
      </c>
      <c r="L538" s="2">
        <f t="shared" si="174"/>
        <v>0</v>
      </c>
      <c r="M538" s="2">
        <f t="shared" si="174"/>
        <v>0</v>
      </c>
      <c r="N538" s="2">
        <f t="shared" si="174"/>
        <v>0</v>
      </c>
      <c r="O538" s="2">
        <f t="shared" si="174"/>
        <v>0</v>
      </c>
      <c r="P538" s="2">
        <f t="shared" si="174"/>
        <v>420.19839126837627</v>
      </c>
      <c r="Q538" s="2">
        <f t="shared" si="174"/>
        <v>443.94425859440173</v>
      </c>
      <c r="R538" s="2">
        <f t="shared" si="174"/>
        <v>459.88266617314986</v>
      </c>
      <c r="S538" s="2">
        <f t="shared" si="174"/>
        <v>468.0803356672871</v>
      </c>
      <c r="T538" s="2">
        <f t="shared" si="174"/>
        <v>468.0803356672871</v>
      </c>
      <c r="U538" s="2">
        <f t="shared" si="174"/>
        <v>459.88266617314986</v>
      </c>
      <c r="V538" s="2">
        <f t="shared" si="174"/>
        <v>443.94425859440173</v>
      </c>
      <c r="W538" s="2">
        <f t="shared" si="174"/>
        <v>420.19839126837627</v>
      </c>
      <c r="X538" s="2">
        <f t="shared" si="174"/>
        <v>389.25900132108393</v>
      </c>
      <c r="Y538" s="2">
        <f t="shared" si="174"/>
        <v>351.61714987778765</v>
      </c>
      <c r="Z538" s="2">
        <f t="shared" si="174"/>
        <v>307.65686111481693</v>
      </c>
      <c r="AA538" s="2">
        <f t="shared" si="174"/>
        <v>258.55049650035897</v>
      </c>
      <c r="AB538" s="2">
        <f t="shared" si="174"/>
        <v>0</v>
      </c>
      <c r="AC538" s="2">
        <f t="shared" si="174"/>
        <v>0</v>
      </c>
      <c r="AD538" s="2">
        <f t="shared" si="174"/>
        <v>0</v>
      </c>
      <c r="AE538" s="2">
        <f t="shared" si="174"/>
        <v>0</v>
      </c>
      <c r="AF538" s="2"/>
    </row>
    <row r="539" spans="1:33">
      <c r="B539" s="5" t="s">
        <v>1087</v>
      </c>
      <c r="C539" s="11"/>
      <c r="D539" t="s">
        <v>774</v>
      </c>
      <c r="E539" s="12"/>
      <c r="F539" s="18"/>
      <c r="G539" s="2" t="s">
        <v>860</v>
      </c>
      <c r="I539" s="2" t="s">
        <v>867</v>
      </c>
      <c r="K539" s="9"/>
      <c r="AF539" s="2"/>
    </row>
    <row r="540" spans="1:33">
      <c r="A540" s="11" t="s">
        <v>568</v>
      </c>
      <c r="B540" t="s">
        <v>883</v>
      </c>
      <c r="C540" s="11"/>
      <c r="E540" s="12"/>
      <c r="F540" s="18"/>
      <c r="G540" s="2" t="s">
        <v>1077</v>
      </c>
      <c r="H540" s="2"/>
      <c r="J540" t="s">
        <v>868</v>
      </c>
      <c r="AF540" s="2"/>
    </row>
    <row r="541" spans="1:33">
      <c r="A541" s="11"/>
      <c r="B541" t="s">
        <v>1078</v>
      </c>
      <c r="C541" s="11"/>
      <c r="E541" s="12"/>
      <c r="F541" s="18"/>
      <c r="G541" s="19"/>
      <c r="I541" s="12" t="s">
        <v>858</v>
      </c>
      <c r="K541" s="11"/>
      <c r="AF541" s="2"/>
    </row>
    <row r="542" spans="1:33">
      <c r="A542" s="11"/>
      <c r="B542" s="2" t="s">
        <v>1079</v>
      </c>
      <c r="C542" s="11"/>
      <c r="E542" s="12"/>
      <c r="F542" s="18"/>
      <c r="G542" s="19"/>
      <c r="H542" s="2"/>
      <c r="K542" s="11"/>
      <c r="L542" s="12"/>
      <c r="AF542" s="2"/>
    </row>
    <row r="543" spans="1:33" ht="18">
      <c r="A543" s="20" t="s">
        <v>882</v>
      </c>
      <c r="G543" s="19">
        <f>SUM(H543:AE543)/48</f>
        <v>26.825151854984341</v>
      </c>
      <c r="H543" s="2">
        <f>H$66*$R$20*H$28^2*(1-H$490*$F$16)*(1-$H$491*$F$16)</f>
        <v>15.296318971719057</v>
      </c>
      <c r="I543" s="2">
        <f t="shared" ref="I543:AE543" si="175">I$66*$R$20*I$28^2*(1-I$490*$F$16)*(1-$H$491*$F$16)</f>
        <v>50.168077971936711</v>
      </c>
      <c r="J543" s="2">
        <f t="shared" si="175"/>
        <v>84.358904523817884</v>
      </c>
      <c r="K543" s="2">
        <f t="shared" si="175"/>
        <v>117.03412995369347</v>
      </c>
      <c r="L543" s="2">
        <f t="shared" si="175"/>
        <v>147.74314085734801</v>
      </c>
      <c r="M543" s="2">
        <f t="shared" si="175"/>
        <v>175.80392063703823</v>
      </c>
      <c r="N543" s="2">
        <f t="shared" si="175"/>
        <v>200.92408564445009</v>
      </c>
      <c r="O543" s="2">
        <f t="shared" si="175"/>
        <v>222.43371504061943</v>
      </c>
      <c r="P543" s="2">
        <f t="shared" si="175"/>
        <v>0.60028341609768154</v>
      </c>
      <c r="Q543" s="2">
        <f t="shared" si="175"/>
        <v>0.63420608370628939</v>
      </c>
      <c r="R543" s="2">
        <f t="shared" si="175"/>
        <v>0.65697523739021546</v>
      </c>
      <c r="S543" s="2">
        <f t="shared" si="175"/>
        <v>0.66868619381041139</v>
      </c>
      <c r="T543" s="2">
        <f t="shared" si="175"/>
        <v>0.66868619381041139</v>
      </c>
      <c r="U543" s="2">
        <f t="shared" si="175"/>
        <v>0.65697523739021546</v>
      </c>
      <c r="V543" s="2">
        <f t="shared" si="175"/>
        <v>0.63420608370628939</v>
      </c>
      <c r="W543" s="2">
        <f t="shared" si="175"/>
        <v>0.60028341609768154</v>
      </c>
      <c r="X543" s="2">
        <f t="shared" si="175"/>
        <v>0.5560842876015496</v>
      </c>
      <c r="Y543" s="2">
        <f t="shared" si="175"/>
        <v>0.50231021411112609</v>
      </c>
      <c r="Z543" s="2">
        <f t="shared" si="175"/>
        <v>0.43950980159259634</v>
      </c>
      <c r="AA543" s="2">
        <f t="shared" si="175"/>
        <v>0.36935785214337069</v>
      </c>
      <c r="AB543" s="2">
        <f t="shared" si="175"/>
        <v>117.03412995369347</v>
      </c>
      <c r="AC543" s="2">
        <f t="shared" si="175"/>
        <v>84.358904523817884</v>
      </c>
      <c r="AD543" s="2">
        <f t="shared" si="175"/>
        <v>50.168077971936711</v>
      </c>
      <c r="AE543" s="2">
        <f t="shared" si="175"/>
        <v>15.296318971719057</v>
      </c>
      <c r="AF543" s="2"/>
    </row>
    <row r="544" spans="1:33">
      <c r="A544" s="14"/>
      <c r="B544" s="5" t="s">
        <v>1088</v>
      </c>
      <c r="G544" s="2"/>
      <c r="H544" s="2"/>
      <c r="I544" s="2"/>
      <c r="J544" s="10"/>
      <c r="K544" s="9"/>
      <c r="AF544" s="2"/>
    </row>
    <row r="545" spans="1:33">
      <c r="A545" s="11" t="s">
        <v>568</v>
      </c>
      <c r="B545" t="s">
        <v>726</v>
      </c>
      <c r="C545" s="11"/>
      <c r="E545" s="12"/>
      <c r="F545" s="18"/>
      <c r="G545" s="2" t="s">
        <v>1077</v>
      </c>
      <c r="H545" s="2"/>
      <c r="J545" s="11"/>
      <c r="K545" t="s">
        <v>868</v>
      </c>
      <c r="M545" s="10"/>
      <c r="N545" s="10"/>
      <c r="AF545" s="2"/>
    </row>
    <row r="546" spans="1:33">
      <c r="A546" s="11"/>
      <c r="B546" t="s">
        <v>1078</v>
      </c>
      <c r="C546" s="11"/>
      <c r="E546" s="12"/>
      <c r="F546" s="18"/>
      <c r="G546" s="19"/>
      <c r="H546" s="2"/>
      <c r="J546" s="11"/>
      <c r="M546" s="10"/>
      <c r="N546" s="10"/>
      <c r="AF546" s="2"/>
    </row>
    <row r="547" spans="1:33">
      <c r="A547" t="s">
        <v>834</v>
      </c>
      <c r="B547" s="5"/>
      <c r="C547" s="11"/>
      <c r="D547" s="5" t="s">
        <v>23</v>
      </c>
      <c r="F547" t="s">
        <v>1091</v>
      </c>
      <c r="G547" s="97">
        <f>SUM(H547:AE547)/48</f>
        <v>1.3811379682082103</v>
      </c>
      <c r="H547" s="97">
        <f>H536*$H$491*$F$16</f>
        <v>0.16384354224448677</v>
      </c>
      <c r="I547" s="97">
        <f t="shared" ref="I547:AE547" si="176">I536*$H$491*$F$16</f>
        <v>0.53846317960026568</v>
      </c>
      <c r="J547" s="97">
        <f t="shared" si="176"/>
        <v>0.90580849370636263</v>
      </c>
      <c r="K547" s="97">
        <f t="shared" si="176"/>
        <v>1.2568773328631493</v>
      </c>
      <c r="L547" s="97">
        <f t="shared" si="176"/>
        <v>1.5868266513163858</v>
      </c>
      <c r="M547" s="97">
        <f t="shared" si="176"/>
        <v>1.8883236973863868</v>
      </c>
      <c r="N547" s="97">
        <f t="shared" si="176"/>
        <v>2.1582331906147796</v>
      </c>
      <c r="O547" s="97">
        <f t="shared" si="176"/>
        <v>2.3893444262206831</v>
      </c>
      <c r="P547" s="97">
        <f t="shared" si="176"/>
        <v>4.513768594345013</v>
      </c>
      <c r="Q547" s="97">
        <f t="shared" si="176"/>
        <v>4.7689038690423295</v>
      </c>
      <c r="R547" s="97">
        <f t="shared" si="176"/>
        <v>4.9401564765300252</v>
      </c>
      <c r="S547" s="97">
        <f t="shared" si="176"/>
        <v>5.0282387960503421</v>
      </c>
      <c r="T547" s="97">
        <f t="shared" si="176"/>
        <v>5.0282387960503421</v>
      </c>
      <c r="U547" s="97">
        <f t="shared" si="176"/>
        <v>4.9401564765300252</v>
      </c>
      <c r="V547" s="97">
        <f t="shared" si="176"/>
        <v>4.7689038690423295</v>
      </c>
      <c r="W547" s="97">
        <f t="shared" si="176"/>
        <v>4.513768594345013</v>
      </c>
      <c r="X547" s="97">
        <f t="shared" si="176"/>
        <v>4.181352745886195</v>
      </c>
      <c r="Y547" s="97">
        <f t="shared" si="176"/>
        <v>3.7769080835758642</v>
      </c>
      <c r="Z547" s="97">
        <f t="shared" si="176"/>
        <v>3.3045664704261766</v>
      </c>
      <c r="AA547" s="97">
        <f t="shared" si="176"/>
        <v>2.7769466398036742</v>
      </c>
      <c r="AB547" s="97">
        <f t="shared" si="176"/>
        <v>1.2568773328631493</v>
      </c>
      <c r="AC547" s="97">
        <f t="shared" si="176"/>
        <v>0.90580849370636263</v>
      </c>
      <c r="AD547" s="97">
        <f t="shared" si="176"/>
        <v>0.53846317960026568</v>
      </c>
      <c r="AE547" s="97">
        <f t="shared" si="176"/>
        <v>0.16384354224448677</v>
      </c>
      <c r="AF547" s="28"/>
      <c r="AG547" s="11"/>
    </row>
    <row r="548" spans="1:33">
      <c r="A548" t="s">
        <v>918</v>
      </c>
      <c r="B548" s="5"/>
      <c r="C548" s="11"/>
      <c r="D548" s="104" t="s">
        <v>1092</v>
      </c>
      <c r="G548" s="97">
        <f>SUM(H548:AE548)/48</f>
        <v>0.88084212110595506</v>
      </c>
      <c r="H548" s="97">
        <f>H547*($R$20*(1-H$27)+$F$15*H$27)</f>
        <v>6.5537416897794715E-2</v>
      </c>
      <c r="I548" s="97">
        <f t="shared" ref="I548:AE548" si="177">I547*($R$20*(1-I$27)+$F$15*I$27)</f>
        <v>0.21538527184010628</v>
      </c>
      <c r="J548" s="97">
        <f t="shared" si="177"/>
        <v>0.36232339748254505</v>
      </c>
      <c r="K548" s="97">
        <f t="shared" si="177"/>
        <v>0.50275093314525976</v>
      </c>
      <c r="L548" s="97">
        <f t="shared" si="177"/>
        <v>0.63473066052655436</v>
      </c>
      <c r="M548" s="97">
        <f t="shared" si="177"/>
        <v>0.75532947895455482</v>
      </c>
      <c r="N548" s="97">
        <f t="shared" si="177"/>
        <v>0.8632932762459119</v>
      </c>
      <c r="O548" s="97">
        <f t="shared" si="177"/>
        <v>0.95573777048827324</v>
      </c>
      <c r="P548" s="97">
        <f t="shared" si="177"/>
        <v>3.1596380160415087</v>
      </c>
      <c r="Q548" s="97">
        <f t="shared" si="177"/>
        <v>3.3382327083296306</v>
      </c>
      <c r="R548" s="97">
        <f t="shared" si="177"/>
        <v>3.4581095335710175</v>
      </c>
      <c r="S548" s="97">
        <f t="shared" si="177"/>
        <v>3.5197671572352394</v>
      </c>
      <c r="T548" s="97">
        <f t="shared" si="177"/>
        <v>3.5197671572352394</v>
      </c>
      <c r="U548" s="97">
        <f t="shared" si="177"/>
        <v>3.4581095335710175</v>
      </c>
      <c r="V548" s="97">
        <f t="shared" si="177"/>
        <v>3.3382327083296306</v>
      </c>
      <c r="W548" s="97">
        <f t="shared" si="177"/>
        <v>3.1596380160415087</v>
      </c>
      <c r="X548" s="97">
        <f t="shared" si="177"/>
        <v>2.9269469221203361</v>
      </c>
      <c r="Y548" s="97">
        <f t="shared" si="177"/>
        <v>2.6438356585031046</v>
      </c>
      <c r="Z548" s="97">
        <f t="shared" si="177"/>
        <v>2.3131965292983234</v>
      </c>
      <c r="AA548" s="97">
        <f t="shared" si="177"/>
        <v>1.9438626478625718</v>
      </c>
      <c r="AB548" s="97">
        <f t="shared" si="177"/>
        <v>0.50275093314525976</v>
      </c>
      <c r="AC548" s="97">
        <f t="shared" si="177"/>
        <v>0.36232339748254505</v>
      </c>
      <c r="AD548" s="97">
        <f t="shared" si="177"/>
        <v>0.21538527184010628</v>
      </c>
      <c r="AE548" s="97">
        <f t="shared" si="177"/>
        <v>6.5537416897794715E-2</v>
      </c>
      <c r="AF548" s="28"/>
      <c r="AG548" s="11"/>
    </row>
    <row r="549" spans="1:33">
      <c r="A549" s="20" t="s">
        <v>835</v>
      </c>
      <c r="B549" s="5"/>
      <c r="C549" s="11"/>
      <c r="G549" s="19">
        <f>SUM(H549:AE549)/48</f>
        <v>0.87129131952763839</v>
      </c>
      <c r="H549" s="24">
        <f>H548*(1-($F$16+$F$13)*$H$491)</f>
        <v>6.4826807300741918E-2</v>
      </c>
      <c r="I549" s="24">
        <f t="shared" ref="I549:AE549" si="178">I548*(1-($F$16+$F$13)*$H$491)</f>
        <v>0.21304989079400716</v>
      </c>
      <c r="J549" s="24">
        <f t="shared" si="178"/>
        <v>0.35839479462214552</v>
      </c>
      <c r="K549" s="24">
        <f t="shared" si="178"/>
        <v>0.49729970154457864</v>
      </c>
      <c r="L549" s="24">
        <f t="shared" si="178"/>
        <v>0.62784839814478799</v>
      </c>
      <c r="M549" s="24">
        <f t="shared" si="178"/>
        <v>0.7471395867969336</v>
      </c>
      <c r="N549" s="24">
        <f t="shared" si="178"/>
        <v>0.85393275341468411</v>
      </c>
      <c r="O549" s="24">
        <f t="shared" si="178"/>
        <v>0.94537488979930806</v>
      </c>
      <c r="P549" s="24">
        <f t="shared" si="178"/>
        <v>3.1253786691875818</v>
      </c>
      <c r="Q549" s="24">
        <f t="shared" si="178"/>
        <v>3.3020368936023887</v>
      </c>
      <c r="R549" s="24">
        <f t="shared" si="178"/>
        <v>3.4206139175010768</v>
      </c>
      <c r="S549" s="24">
        <f t="shared" si="178"/>
        <v>3.4816029994195112</v>
      </c>
      <c r="T549" s="24">
        <f t="shared" si="178"/>
        <v>3.4816029994195112</v>
      </c>
      <c r="U549" s="24">
        <f t="shared" si="178"/>
        <v>3.4206139175010768</v>
      </c>
      <c r="V549" s="24">
        <f t="shared" si="178"/>
        <v>3.3020368936023887</v>
      </c>
      <c r="W549" s="24">
        <f t="shared" si="178"/>
        <v>3.1253786691875818</v>
      </c>
      <c r="X549" s="24">
        <f t="shared" si="178"/>
        <v>2.8952106000103806</v>
      </c>
      <c r="Y549" s="24">
        <f t="shared" si="178"/>
        <v>2.6151690573324697</v>
      </c>
      <c r="Z549" s="24">
        <f t="shared" si="178"/>
        <v>2.2881149845656088</v>
      </c>
      <c r="AA549" s="24">
        <f t="shared" si="178"/>
        <v>1.9227857193184124</v>
      </c>
      <c r="AB549" s="24">
        <f t="shared" si="178"/>
        <v>0.49729970154457864</v>
      </c>
      <c r="AC549" s="24">
        <f t="shared" si="178"/>
        <v>0.35839479462214552</v>
      </c>
      <c r="AD549" s="24">
        <f t="shared" si="178"/>
        <v>0.21304989079400716</v>
      </c>
      <c r="AE549" s="24">
        <f t="shared" si="178"/>
        <v>6.4826807300741918E-2</v>
      </c>
      <c r="AF549" s="28"/>
      <c r="AG549" s="11"/>
    </row>
    <row r="550" spans="1:33">
      <c r="A550" s="20"/>
      <c r="B550" s="24" t="s">
        <v>1096</v>
      </c>
      <c r="C550" s="11"/>
      <c r="G550" s="19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8"/>
      <c r="AG550" s="11"/>
    </row>
    <row r="551" spans="1:33">
      <c r="A551" s="100" t="s">
        <v>836</v>
      </c>
      <c r="B551" s="5"/>
      <c r="C551" s="11"/>
      <c r="G551" s="19">
        <f>SUM(H551:AE551)/48</f>
        <v>6.110974768431021E-3</v>
      </c>
      <c r="H551" s="2">
        <f>H549^2/(H538+H543)</f>
        <v>2.7474027918595581E-4</v>
      </c>
      <c r="I551" s="2">
        <f t="shared" ref="I551:AE551" si="179">I549^2/(I538+I543)</f>
        <v>9.0476370238319712E-4</v>
      </c>
      <c r="J551" s="2">
        <f t="shared" si="179"/>
        <v>1.5226232433587874E-3</v>
      </c>
      <c r="K551" s="2">
        <f t="shared" si="179"/>
        <v>2.1131185685250805E-3</v>
      </c>
      <c r="L551" s="2">
        <f t="shared" si="179"/>
        <v>2.6681009268212739E-3</v>
      </c>
      <c r="M551" s="2">
        <f t="shared" si="179"/>
        <v>3.1752281754374471E-3</v>
      </c>
      <c r="N551" s="2">
        <f t="shared" si="179"/>
        <v>3.629237107216497E-3</v>
      </c>
      <c r="O551" s="2">
        <f t="shared" si="179"/>
        <v>4.0179775898624261E-3</v>
      </c>
      <c r="P551" s="2">
        <f t="shared" si="179"/>
        <v>2.3212981440915992E-2</v>
      </c>
      <c r="Q551" s="2">
        <f t="shared" si="179"/>
        <v>2.4525361692014996E-2</v>
      </c>
      <c r="R551" s="2">
        <f t="shared" si="179"/>
        <v>2.5406281067934751E-2</v>
      </c>
      <c r="S551" s="2">
        <f t="shared" si="179"/>
        <v>2.585938077788431E-2</v>
      </c>
      <c r="T551" s="2">
        <f t="shared" si="179"/>
        <v>2.585938077788431E-2</v>
      </c>
      <c r="U551" s="2">
        <f t="shared" si="179"/>
        <v>2.5406281067934751E-2</v>
      </c>
      <c r="V551" s="2">
        <f t="shared" si="179"/>
        <v>2.4525361692014996E-2</v>
      </c>
      <c r="W551" s="2">
        <f t="shared" si="179"/>
        <v>2.3212981440915992E-2</v>
      </c>
      <c r="X551" s="2">
        <f t="shared" si="179"/>
        <v>2.1503129888685104E-2</v>
      </c>
      <c r="Y551" s="2">
        <f t="shared" si="179"/>
        <v>1.9422695913041205E-2</v>
      </c>
      <c r="Z551" s="2">
        <f t="shared" si="179"/>
        <v>1.6992962841532875E-2</v>
      </c>
      <c r="AA551" s="2">
        <f t="shared" si="179"/>
        <v>1.4278954897686059E-2</v>
      </c>
      <c r="AB551" s="2">
        <f t="shared" si="179"/>
        <v>2.1131185685250805E-3</v>
      </c>
      <c r="AC551" s="2">
        <f t="shared" si="179"/>
        <v>1.5226232433587874E-3</v>
      </c>
      <c r="AD551" s="2">
        <f t="shared" si="179"/>
        <v>9.0476370238319712E-4</v>
      </c>
      <c r="AE551" s="2">
        <f t="shared" si="179"/>
        <v>2.7474027918595581E-4</v>
      </c>
      <c r="AF551" s="28"/>
      <c r="AG551" s="11"/>
    </row>
    <row r="552" spans="1:33" ht="18">
      <c r="A552" s="100"/>
      <c r="B552" s="24" t="s">
        <v>1097</v>
      </c>
      <c r="C552" s="11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8"/>
      <c r="AG552" s="11"/>
    </row>
    <row r="553" spans="1:33" ht="18">
      <c r="A553" s="20" t="s">
        <v>890</v>
      </c>
      <c r="G553" s="19">
        <f>(SUM(H553:AE553)+24*$R$24*(1-$H$491))/48</f>
        <v>249.90932413436943</v>
      </c>
      <c r="H553" s="2">
        <f>$R$24*(1-H$27)*(1-$H$491)</f>
        <v>333.21243217915929</v>
      </c>
      <c r="I553" s="2">
        <f t="shared" ref="I553:AE553" si="180">$R$24*(1-I$27)*(1-$H$491)</f>
        <v>333.21243217915929</v>
      </c>
      <c r="J553" s="2">
        <f t="shared" si="180"/>
        <v>333.21243217915929</v>
      </c>
      <c r="K553" s="2">
        <f t="shared" si="180"/>
        <v>333.21243217915929</v>
      </c>
      <c r="L553" s="2">
        <f t="shared" si="180"/>
        <v>333.21243217915929</v>
      </c>
      <c r="M553" s="2">
        <f t="shared" si="180"/>
        <v>333.21243217915929</v>
      </c>
      <c r="N553" s="2">
        <f t="shared" si="180"/>
        <v>333.21243217915929</v>
      </c>
      <c r="O553" s="2">
        <f t="shared" si="180"/>
        <v>333.21243217915929</v>
      </c>
      <c r="P553" s="2">
        <f t="shared" si="180"/>
        <v>0</v>
      </c>
      <c r="Q553" s="2">
        <f t="shared" si="180"/>
        <v>0</v>
      </c>
      <c r="R553" s="2">
        <f t="shared" si="180"/>
        <v>0</v>
      </c>
      <c r="S553" s="2">
        <f t="shared" si="180"/>
        <v>0</v>
      </c>
      <c r="T553" s="2">
        <f t="shared" si="180"/>
        <v>0</v>
      </c>
      <c r="U553" s="2">
        <f t="shared" si="180"/>
        <v>0</v>
      </c>
      <c r="V553" s="2">
        <f t="shared" si="180"/>
        <v>0</v>
      </c>
      <c r="W553" s="2">
        <f t="shared" si="180"/>
        <v>0</v>
      </c>
      <c r="X553" s="2">
        <f t="shared" si="180"/>
        <v>0</v>
      </c>
      <c r="Y553" s="2">
        <f t="shared" si="180"/>
        <v>0</v>
      </c>
      <c r="Z553" s="2">
        <f t="shared" si="180"/>
        <v>0</v>
      </c>
      <c r="AA553" s="2">
        <f t="shared" si="180"/>
        <v>0</v>
      </c>
      <c r="AB553" s="2">
        <f t="shared" si="180"/>
        <v>333.21243217915929</v>
      </c>
      <c r="AC553" s="2">
        <f t="shared" si="180"/>
        <v>333.21243217915929</v>
      </c>
      <c r="AD553" s="2">
        <f t="shared" si="180"/>
        <v>333.21243217915929</v>
      </c>
      <c r="AE553" s="2">
        <f t="shared" si="180"/>
        <v>333.21243217915929</v>
      </c>
      <c r="AF553" s="2"/>
    </row>
    <row r="554" spans="1:33">
      <c r="A554" s="14"/>
      <c r="B554" s="5" t="s">
        <v>1086</v>
      </c>
      <c r="D554" t="s">
        <v>28</v>
      </c>
      <c r="E554" s="12"/>
      <c r="F554" s="6"/>
      <c r="G554" s="2" t="s">
        <v>860</v>
      </c>
      <c r="I554" s="2" t="s">
        <v>1071</v>
      </c>
      <c r="J554" s="10"/>
      <c r="K554" s="9"/>
      <c r="AF554" s="2"/>
    </row>
    <row r="555" spans="1:33" ht="18">
      <c r="A555" s="20" t="s">
        <v>891</v>
      </c>
      <c r="D555" s="105" t="s">
        <v>892</v>
      </c>
      <c r="E555">
        <f>$F$7</f>
        <v>-5</v>
      </c>
      <c r="F555" s="5" t="s">
        <v>893</v>
      </c>
      <c r="G555" s="19">
        <f>SUM(H555:AE555)/48</f>
        <v>71.948409482699844</v>
      </c>
      <c r="H555" s="2">
        <f t="shared" ref="H555:AE555" si="181">$M$9*($F$7+273)^4*H$27*(1-$H$491)</f>
        <v>0</v>
      </c>
      <c r="I555" s="2">
        <f t="shared" si="181"/>
        <v>0</v>
      </c>
      <c r="J555" s="2">
        <f t="shared" si="181"/>
        <v>0</v>
      </c>
      <c r="K555" s="2">
        <f t="shared" si="181"/>
        <v>0</v>
      </c>
      <c r="L555" s="2">
        <f t="shared" si="181"/>
        <v>0</v>
      </c>
      <c r="M555" s="2">
        <f t="shared" si="181"/>
        <v>0</v>
      </c>
      <c r="N555" s="2">
        <f t="shared" si="181"/>
        <v>0</v>
      </c>
      <c r="O555" s="2">
        <f t="shared" si="181"/>
        <v>0</v>
      </c>
      <c r="P555" s="2">
        <f t="shared" si="181"/>
        <v>287.79363793079938</v>
      </c>
      <c r="Q555" s="2">
        <f t="shared" si="181"/>
        <v>287.79363793079938</v>
      </c>
      <c r="R555" s="2">
        <f t="shared" si="181"/>
        <v>287.79363793079938</v>
      </c>
      <c r="S555" s="2">
        <f t="shared" si="181"/>
        <v>287.79363793079938</v>
      </c>
      <c r="T555" s="2">
        <f t="shared" si="181"/>
        <v>287.79363793079938</v>
      </c>
      <c r="U555" s="2">
        <f t="shared" si="181"/>
        <v>287.79363793079938</v>
      </c>
      <c r="V555" s="2">
        <f t="shared" si="181"/>
        <v>287.79363793079938</v>
      </c>
      <c r="W555" s="2">
        <f t="shared" si="181"/>
        <v>287.79363793079938</v>
      </c>
      <c r="X555" s="2">
        <f t="shared" si="181"/>
        <v>287.79363793079938</v>
      </c>
      <c r="Y555" s="2">
        <f t="shared" si="181"/>
        <v>287.79363793079938</v>
      </c>
      <c r="Z555" s="2">
        <f t="shared" si="181"/>
        <v>287.79363793079938</v>
      </c>
      <c r="AA555" s="2">
        <f t="shared" si="181"/>
        <v>287.79363793079938</v>
      </c>
      <c r="AB555" s="2">
        <f t="shared" si="181"/>
        <v>0</v>
      </c>
      <c r="AC555" s="2">
        <f t="shared" si="181"/>
        <v>0</v>
      </c>
      <c r="AD555" s="2">
        <f t="shared" si="181"/>
        <v>0</v>
      </c>
      <c r="AE555" s="2">
        <f t="shared" si="181"/>
        <v>0</v>
      </c>
      <c r="AF555" s="2"/>
    </row>
    <row r="556" spans="1:33">
      <c r="A556" s="14"/>
      <c r="B556" t="s">
        <v>1072</v>
      </c>
      <c r="D556" t="s">
        <v>744</v>
      </c>
      <c r="E556" s="30"/>
      <c r="F556" t="s">
        <v>618</v>
      </c>
      <c r="H556" s="2" t="s">
        <v>860</v>
      </c>
      <c r="I556" s="2"/>
      <c r="J556" s="2" t="s">
        <v>1073</v>
      </c>
      <c r="K556" s="9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3">
      <c r="A557" s="20" t="s">
        <v>914</v>
      </c>
      <c r="B557" s="11"/>
      <c r="C557" s="11"/>
      <c r="D557" s="11"/>
      <c r="E557" s="27"/>
      <c r="F557" s="6"/>
      <c r="G557" s="19">
        <f>SUM(H557:AE557)/24</f>
        <v>2.5618512323568008</v>
      </c>
      <c r="H557" s="24">
        <f t="shared" ref="H557:AE557" si="182">$M$9*($F$9+273)^4*$F$10*$F$18</f>
        <v>2.5618512323567995</v>
      </c>
      <c r="I557" s="24">
        <f t="shared" si="182"/>
        <v>2.5618512323567995</v>
      </c>
      <c r="J557" s="24">
        <f t="shared" si="182"/>
        <v>2.5618512323567995</v>
      </c>
      <c r="K557" s="24">
        <f t="shared" si="182"/>
        <v>2.5618512323567995</v>
      </c>
      <c r="L557" s="24">
        <f t="shared" si="182"/>
        <v>2.5618512323567995</v>
      </c>
      <c r="M557" s="24">
        <f t="shared" si="182"/>
        <v>2.5618512323567995</v>
      </c>
      <c r="N557" s="24">
        <f t="shared" si="182"/>
        <v>2.5618512323567995</v>
      </c>
      <c r="O557" s="24">
        <f t="shared" si="182"/>
        <v>2.5618512323567995</v>
      </c>
      <c r="P557" s="24">
        <f t="shared" si="182"/>
        <v>2.5618512323567995</v>
      </c>
      <c r="Q557" s="24">
        <f t="shared" si="182"/>
        <v>2.5618512323567995</v>
      </c>
      <c r="R557" s="24">
        <f t="shared" si="182"/>
        <v>2.5618512323567995</v>
      </c>
      <c r="S557" s="24">
        <f t="shared" si="182"/>
        <v>2.5618512323567995</v>
      </c>
      <c r="T557" s="24">
        <f t="shared" si="182"/>
        <v>2.5618512323567995</v>
      </c>
      <c r="U557" s="24">
        <f t="shared" si="182"/>
        <v>2.5618512323567995</v>
      </c>
      <c r="V557" s="24">
        <f t="shared" si="182"/>
        <v>2.5618512323567995</v>
      </c>
      <c r="W557" s="24">
        <f t="shared" si="182"/>
        <v>2.5618512323567995</v>
      </c>
      <c r="X557" s="24">
        <f t="shared" si="182"/>
        <v>2.5618512323567995</v>
      </c>
      <c r="Y557" s="24">
        <f t="shared" si="182"/>
        <v>2.5618512323567995</v>
      </c>
      <c r="Z557" s="24">
        <f t="shared" si="182"/>
        <v>2.5618512323567995</v>
      </c>
      <c r="AA557" s="24">
        <f t="shared" si="182"/>
        <v>2.5618512323567995</v>
      </c>
      <c r="AB557" s="24">
        <f t="shared" si="182"/>
        <v>2.5618512323567995</v>
      </c>
      <c r="AC557" s="24">
        <f t="shared" si="182"/>
        <v>2.5618512323567995</v>
      </c>
      <c r="AD557" s="24">
        <f t="shared" si="182"/>
        <v>2.5618512323567995</v>
      </c>
      <c r="AE557" s="24">
        <f t="shared" si="182"/>
        <v>2.5618512323567995</v>
      </c>
      <c r="AF557" s="28"/>
      <c r="AG557" s="11"/>
    </row>
    <row r="558" spans="1:33">
      <c r="A558" s="20"/>
      <c r="B558" s="5" t="s">
        <v>923</v>
      </c>
      <c r="C558" s="11"/>
      <c r="D558" t="s">
        <v>743</v>
      </c>
      <c r="E558" s="27"/>
      <c r="F558" s="6"/>
      <c r="G558" s="28"/>
      <c r="H558" t="s">
        <v>717</v>
      </c>
      <c r="I558" s="29"/>
      <c r="J558" s="11"/>
      <c r="K558" s="2" t="s">
        <v>719</v>
      </c>
      <c r="L558" s="11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11"/>
    </row>
    <row r="559" spans="1:33">
      <c r="A559" s="20"/>
      <c r="B559" s="27" t="s">
        <v>925</v>
      </c>
      <c r="C559" s="11" t="s">
        <v>924</v>
      </c>
      <c r="E559" s="27"/>
      <c r="F559" s="6"/>
      <c r="G559" s="28"/>
      <c r="I559" s="29"/>
      <c r="J559" s="11"/>
      <c r="K559" s="2"/>
      <c r="L559" s="11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11"/>
    </row>
    <row r="560" spans="1:33">
      <c r="A560" s="20"/>
      <c r="B560" s="14"/>
      <c r="C560" t="s">
        <v>926</v>
      </c>
      <c r="E560" s="27"/>
      <c r="F560" s="6"/>
      <c r="G560" s="28"/>
      <c r="I560" s="29"/>
      <c r="J560" s="11"/>
      <c r="K560" s="2"/>
      <c r="L560" s="11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11"/>
    </row>
    <row r="561" spans="1:33">
      <c r="A561" s="3"/>
      <c r="B561" s="16" t="s">
        <v>741</v>
      </c>
      <c r="E561" s="12"/>
      <c r="F561" s="6"/>
      <c r="G561" s="32">
        <f>G532+G538+G543+G549+G551+G553+G555+G557</f>
        <v>457.39968730744619</v>
      </c>
      <c r="H561" s="2"/>
      <c r="I561" s="29"/>
      <c r="K561" s="10"/>
      <c r="L561" s="3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3">
      <c r="A562" s="20"/>
      <c r="B562" s="16" t="s">
        <v>725</v>
      </c>
      <c r="E562" s="30"/>
      <c r="F562" s="6"/>
      <c r="G562" s="32">
        <f>G529-G561</f>
        <v>3.4244767891988772</v>
      </c>
      <c r="H562" s="33"/>
      <c r="I562" s="8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3">
      <c r="A563" s="39" t="s">
        <v>509</v>
      </c>
      <c r="B563" s="16"/>
      <c r="E563" s="30"/>
      <c r="G563" s="32"/>
      <c r="H563" s="33"/>
      <c r="I563" s="3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3">
      <c r="A564" s="3" t="s">
        <v>977</v>
      </c>
      <c r="E564" s="12"/>
      <c r="F564" s="6"/>
      <c r="G564" s="87" t="s">
        <v>535</v>
      </c>
      <c r="H564" s="21"/>
      <c r="I564" s="2"/>
      <c r="J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3">
      <c r="A565" s="20" t="s">
        <v>935</v>
      </c>
      <c r="B565" s="11"/>
      <c r="C565" s="11"/>
      <c r="E565" s="14" t="s">
        <v>563</v>
      </c>
      <c r="F565" s="31">
        <f>$F$15</f>
        <v>0.7</v>
      </c>
      <c r="G565" s="19">
        <f>SUM(H565:AE565)/48</f>
        <v>152.55066367278636</v>
      </c>
      <c r="H565" s="2">
        <f>H$66*$F$15</f>
        <v>31.225429664758099</v>
      </c>
      <c r="I565" s="2">
        <f t="shared" ref="I565:AE565" si="183">I$66*$F$15</f>
        <v>93.377076779530128</v>
      </c>
      <c r="J565" s="2">
        <f t="shared" si="183"/>
        <v>153.97939749480551</v>
      </c>
      <c r="K565" s="2">
        <f t="shared" si="183"/>
        <v>211.83689390798824</v>
      </c>
      <c r="L565" s="2">
        <f t="shared" si="183"/>
        <v>266.16459190494942</v>
      </c>
      <c r="M565" s="2">
        <f t="shared" si="183"/>
        <v>315.79630489000851</v>
      </c>
      <c r="N565" s="2">
        <f t="shared" si="183"/>
        <v>360.16373197592884</v>
      </c>
      <c r="O565" s="2">
        <f t="shared" si="183"/>
        <v>398.18723201947819</v>
      </c>
      <c r="P565" s="2">
        <f t="shared" si="183"/>
        <v>429.50568350176121</v>
      </c>
      <c r="Q565" s="2">
        <f t="shared" si="183"/>
        <v>453.50795131590763</v>
      </c>
      <c r="R565" s="2">
        <f t="shared" si="183"/>
        <v>469.60029277733173</v>
      </c>
      <c r="S565" s="2">
        <f t="shared" si="183"/>
        <v>477.87134191442487</v>
      </c>
      <c r="T565" s="2">
        <f t="shared" si="183"/>
        <v>477.87134191442487</v>
      </c>
      <c r="U565" s="2">
        <f t="shared" si="183"/>
        <v>469.60029277733173</v>
      </c>
      <c r="V565" s="2">
        <f t="shared" si="183"/>
        <v>453.50795131590763</v>
      </c>
      <c r="W565" s="2">
        <f t="shared" si="183"/>
        <v>429.50568350176121</v>
      </c>
      <c r="X565" s="2">
        <f t="shared" si="183"/>
        <v>398.18723201947819</v>
      </c>
      <c r="Y565" s="2">
        <f t="shared" si="183"/>
        <v>360.16373197592884</v>
      </c>
      <c r="Z565" s="2">
        <f t="shared" si="183"/>
        <v>315.79630489000851</v>
      </c>
      <c r="AA565" s="2">
        <f t="shared" si="183"/>
        <v>266.16459190494942</v>
      </c>
      <c r="AB565" s="2">
        <f t="shared" si="183"/>
        <v>211.83689390798824</v>
      </c>
      <c r="AC565" s="2">
        <f t="shared" si="183"/>
        <v>153.97939749480551</v>
      </c>
      <c r="AD565" s="2">
        <f t="shared" si="183"/>
        <v>93.377076779530128</v>
      </c>
      <c r="AE565" s="2">
        <f t="shared" si="183"/>
        <v>31.225429664758099</v>
      </c>
      <c r="AF565" s="28"/>
      <c r="AG565" s="11"/>
    </row>
    <row r="566" spans="1:33">
      <c r="A566" s="3"/>
      <c r="B566" s="5" t="s">
        <v>1089</v>
      </c>
      <c r="C566" s="11"/>
      <c r="D566" t="s">
        <v>19</v>
      </c>
      <c r="F566" s="27"/>
      <c r="G566" s="2"/>
      <c r="H566" s="2" t="s">
        <v>1019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8"/>
      <c r="AG566" s="11"/>
    </row>
    <row r="567" spans="1:33">
      <c r="A567" s="20" t="s">
        <v>936</v>
      </c>
      <c r="B567" s="11"/>
      <c r="C567" s="11"/>
      <c r="D567" s="24" t="s">
        <v>1013</v>
      </c>
      <c r="E567" s="27"/>
      <c r="F567" s="6" t="s">
        <v>1049</v>
      </c>
      <c r="G567" s="19">
        <f>SUM(H567:AE567)/24</f>
        <v>294.0451576320001</v>
      </c>
      <c r="H567" s="2">
        <f t="shared" ref="H567:AE567" si="184">$M$9*($F$7+273)^4</f>
        <v>294.04515763199998</v>
      </c>
      <c r="I567" s="2">
        <f t="shared" si="184"/>
        <v>294.04515763199998</v>
      </c>
      <c r="J567" s="2">
        <f t="shared" si="184"/>
        <v>294.04515763199998</v>
      </c>
      <c r="K567" s="2">
        <f t="shared" si="184"/>
        <v>294.04515763199998</v>
      </c>
      <c r="L567" s="2">
        <f t="shared" si="184"/>
        <v>294.04515763199998</v>
      </c>
      <c r="M567" s="2">
        <f t="shared" si="184"/>
        <v>294.04515763199998</v>
      </c>
      <c r="N567" s="2">
        <f t="shared" si="184"/>
        <v>294.04515763199998</v>
      </c>
      <c r="O567" s="2">
        <f t="shared" si="184"/>
        <v>294.04515763199998</v>
      </c>
      <c r="P567" s="2">
        <f t="shared" si="184"/>
        <v>294.04515763199998</v>
      </c>
      <c r="Q567" s="2">
        <f t="shared" si="184"/>
        <v>294.04515763199998</v>
      </c>
      <c r="R567" s="2">
        <f t="shared" si="184"/>
        <v>294.04515763199998</v>
      </c>
      <c r="S567" s="2">
        <f t="shared" si="184"/>
        <v>294.04515763199998</v>
      </c>
      <c r="T567" s="2">
        <f t="shared" si="184"/>
        <v>294.04515763199998</v>
      </c>
      <c r="U567" s="2">
        <f t="shared" si="184"/>
        <v>294.04515763199998</v>
      </c>
      <c r="V567" s="2">
        <f t="shared" si="184"/>
        <v>294.04515763199998</v>
      </c>
      <c r="W567" s="2">
        <f t="shared" si="184"/>
        <v>294.04515763199998</v>
      </c>
      <c r="X567" s="2">
        <f t="shared" si="184"/>
        <v>294.04515763199998</v>
      </c>
      <c r="Y567" s="2">
        <f t="shared" si="184"/>
        <v>294.04515763199998</v>
      </c>
      <c r="Z567" s="2">
        <f t="shared" si="184"/>
        <v>294.04515763199998</v>
      </c>
      <c r="AA567" s="2">
        <f t="shared" si="184"/>
        <v>294.04515763199998</v>
      </c>
      <c r="AB567" s="2">
        <f t="shared" si="184"/>
        <v>294.04515763199998</v>
      </c>
      <c r="AC567" s="2">
        <f t="shared" si="184"/>
        <v>294.04515763199998</v>
      </c>
      <c r="AD567" s="2">
        <f t="shared" si="184"/>
        <v>294.04515763199998</v>
      </c>
      <c r="AE567" s="2">
        <f t="shared" si="184"/>
        <v>294.04515763199998</v>
      </c>
      <c r="AF567" s="28"/>
      <c r="AG567" s="11"/>
    </row>
    <row r="568" spans="1:33">
      <c r="A568" s="20"/>
      <c r="B568" s="16" t="s">
        <v>729</v>
      </c>
      <c r="C568" s="11"/>
      <c r="D568" s="11"/>
      <c r="E568" s="21"/>
      <c r="F568" s="21"/>
      <c r="G568" s="82">
        <f>G565+G567</f>
        <v>446.59582130478645</v>
      </c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8"/>
      <c r="AG568" s="11"/>
    </row>
    <row r="569" spans="1:33">
      <c r="A569" s="39" t="s">
        <v>509</v>
      </c>
      <c r="B569" s="16"/>
      <c r="C569" s="11"/>
      <c r="D569" s="11"/>
      <c r="E569" s="21"/>
      <c r="F569" s="21"/>
      <c r="G569" s="82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8"/>
      <c r="AG569" s="11"/>
    </row>
    <row r="570" spans="1:33">
      <c r="A570" s="3" t="s">
        <v>728</v>
      </c>
      <c r="B570" s="16"/>
      <c r="C570" s="11"/>
      <c r="D570" s="11"/>
      <c r="E570" s="21"/>
      <c r="F570" s="21"/>
      <c r="G570" s="82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8"/>
      <c r="AG570" s="11"/>
    </row>
    <row r="571" spans="1:33">
      <c r="A571" s="3" t="s">
        <v>877</v>
      </c>
      <c r="G571" s="19">
        <f>SUM(H571:AE571)/48</f>
        <v>3.3755730541464057</v>
      </c>
      <c r="H571" s="24">
        <f>H$66*H$490*$F$16</f>
        <v>5.9560840913175657</v>
      </c>
      <c r="I571" s="24">
        <f t="shared" ref="I571:AE571" si="185">I$66*I$490*$F$16</f>
        <v>6.6280619389764226</v>
      </c>
      <c r="J571" s="24">
        <f t="shared" si="185"/>
        <v>6.8073380381448727</v>
      </c>
      <c r="K571" s="24">
        <f t="shared" si="185"/>
        <v>6.8951500009301059</v>
      </c>
      <c r="L571" s="24">
        <f t="shared" si="185"/>
        <v>6.9087436941021574</v>
      </c>
      <c r="M571" s="24">
        <f t="shared" si="185"/>
        <v>6.9054994409560013</v>
      </c>
      <c r="N571" s="24">
        <f t="shared" si="185"/>
        <v>6.8123716828676351</v>
      </c>
      <c r="O571" s="24">
        <f t="shared" si="185"/>
        <v>6.7798128020791708</v>
      </c>
      <c r="P571" s="24">
        <f t="shared" si="185"/>
        <v>6.8464353329035488</v>
      </c>
      <c r="Q571" s="24">
        <f t="shared" si="185"/>
        <v>6.8482423964625898</v>
      </c>
      <c r="R571" s="24">
        <f t="shared" si="185"/>
        <v>6.8235066199439167</v>
      </c>
      <c r="S571" s="24">
        <f t="shared" si="185"/>
        <v>6.8025072608297403</v>
      </c>
      <c r="T571" s="24">
        <f t="shared" si="185"/>
        <v>6.8025072608297403</v>
      </c>
      <c r="U571" s="24">
        <f t="shared" si="185"/>
        <v>6.8235066199439167</v>
      </c>
      <c r="V571" s="24">
        <f t="shared" si="185"/>
        <v>6.8482423964625898</v>
      </c>
      <c r="W571" s="24">
        <f t="shared" si="185"/>
        <v>6.8464353329035488</v>
      </c>
      <c r="X571" s="24">
        <f t="shared" si="185"/>
        <v>6.7798128020791708</v>
      </c>
      <c r="Y571" s="24">
        <f t="shared" si="185"/>
        <v>6.8123716828676351</v>
      </c>
      <c r="Z571" s="24">
        <f t="shared" si="185"/>
        <v>6.9054994409560013</v>
      </c>
      <c r="AA571" s="24">
        <f t="shared" si="185"/>
        <v>6.9087436941021574</v>
      </c>
      <c r="AB571" s="24">
        <f t="shared" si="185"/>
        <v>6.8951500009301059</v>
      </c>
      <c r="AC571" s="24">
        <f t="shared" si="185"/>
        <v>6.8073380381448727</v>
      </c>
      <c r="AD571" s="24">
        <f t="shared" si="185"/>
        <v>6.6280619389764226</v>
      </c>
      <c r="AE571" s="24">
        <f t="shared" si="185"/>
        <v>5.9560840913175657</v>
      </c>
      <c r="AF571" s="28"/>
      <c r="AG571" s="11"/>
    </row>
    <row r="572" spans="1:33">
      <c r="B572" s="5" t="s">
        <v>1061</v>
      </c>
      <c r="D572" t="s">
        <v>774</v>
      </c>
      <c r="G572" t="s">
        <v>894</v>
      </c>
      <c r="J572" s="2"/>
      <c r="K572" s="2" t="s">
        <v>1080</v>
      </c>
      <c r="L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3">
      <c r="A573" t="s">
        <v>879</v>
      </c>
      <c r="C573" s="11"/>
      <c r="G573" s="98">
        <f>SUM(H573:AE573)/48</f>
        <v>214.48643501732261</v>
      </c>
      <c r="H573" s="97">
        <f>H$66*(1-($F$16+$F$13)*H$490)</f>
        <v>38.53255089079623</v>
      </c>
      <c r="I573" s="97">
        <f t="shared" ref="I573:AE573" si="186">I$66*(1-($F$16+$F$13)*I$490)</f>
        <v>126.63520079300139</v>
      </c>
      <c r="J573" s="97">
        <f t="shared" si="186"/>
        <v>213.02708305081438</v>
      </c>
      <c r="K573" s="97">
        <f t="shared" si="186"/>
        <v>295.5910811533202</v>
      </c>
      <c r="L573" s="97">
        <f t="shared" si="186"/>
        <v>373.18821272480068</v>
      </c>
      <c r="M573" s="97">
        <f t="shared" si="186"/>
        <v>444.09396898452275</v>
      </c>
      <c r="N573" s="97">
        <f t="shared" si="186"/>
        <v>507.57099799194481</v>
      </c>
      <c r="O573" s="97">
        <f t="shared" si="186"/>
        <v>561.92349382684813</v>
      </c>
      <c r="P573" s="97">
        <f t="shared" si="186"/>
        <v>606.59618382009728</v>
      </c>
      <c r="Q573" s="97">
        <f t="shared" si="186"/>
        <v>640.8832946354762</v>
      </c>
      <c r="R573" s="97">
        <f t="shared" si="186"/>
        <v>663.89758435813121</v>
      </c>
      <c r="S573" s="97">
        <f t="shared" si="186"/>
        <v>675.73478818598926</v>
      </c>
      <c r="T573" s="97">
        <f t="shared" si="186"/>
        <v>675.73478818598926</v>
      </c>
      <c r="U573" s="97">
        <f t="shared" si="186"/>
        <v>663.89758435813121</v>
      </c>
      <c r="V573" s="97">
        <f t="shared" si="186"/>
        <v>640.8832946354762</v>
      </c>
      <c r="W573" s="97">
        <f t="shared" si="186"/>
        <v>606.59618382009728</v>
      </c>
      <c r="X573" s="97">
        <f t="shared" si="186"/>
        <v>561.92349382684813</v>
      </c>
      <c r="Y573" s="97">
        <f t="shared" si="186"/>
        <v>507.57099799194481</v>
      </c>
      <c r="Z573" s="97">
        <f t="shared" si="186"/>
        <v>444.09396898452275</v>
      </c>
      <c r="AA573" s="97">
        <f t="shared" si="186"/>
        <v>373.18821272480068</v>
      </c>
      <c r="AB573" s="97">
        <f t="shared" si="186"/>
        <v>295.5910811533202</v>
      </c>
      <c r="AC573" s="97">
        <f t="shared" si="186"/>
        <v>213.02708305081438</v>
      </c>
      <c r="AD573" s="97">
        <f t="shared" si="186"/>
        <v>126.63520079300139</v>
      </c>
      <c r="AE573" s="97">
        <f t="shared" si="186"/>
        <v>38.53255089079623</v>
      </c>
      <c r="AF573" s="28"/>
      <c r="AG573" s="11"/>
    </row>
    <row r="574" spans="1:33">
      <c r="B574" s="24" t="s">
        <v>1064</v>
      </c>
      <c r="D574" s="2" t="s">
        <v>1065</v>
      </c>
      <c r="E574" s="106" t="s">
        <v>970</v>
      </c>
      <c r="G574" t="s">
        <v>853</v>
      </c>
      <c r="I574" t="s">
        <v>1076</v>
      </c>
      <c r="AF574" s="28"/>
      <c r="AG574" s="11"/>
    </row>
    <row r="575" spans="1:33">
      <c r="A575" t="s">
        <v>895</v>
      </c>
      <c r="C575" s="11"/>
      <c r="D575" s="24"/>
      <c r="G575" s="97">
        <f>SUM(H575:AE575)/48</f>
        <v>150.1405045121258</v>
      </c>
      <c r="H575" s="97">
        <f>H573*$F$15</f>
        <v>26.97278562355736</v>
      </c>
      <c r="I575" s="97">
        <f t="shared" ref="I575:AE575" si="187">I573*$F$15</f>
        <v>88.644640555100963</v>
      </c>
      <c r="J575" s="97">
        <f t="shared" si="187"/>
        <v>149.11895813557007</v>
      </c>
      <c r="K575" s="97">
        <f t="shared" si="187"/>
        <v>206.91375680732412</v>
      </c>
      <c r="L575" s="97">
        <f t="shared" si="187"/>
        <v>261.23174890736044</v>
      </c>
      <c r="M575" s="97">
        <f t="shared" si="187"/>
        <v>310.86577828916592</v>
      </c>
      <c r="N575" s="97">
        <f t="shared" si="187"/>
        <v>355.29969859436136</v>
      </c>
      <c r="O575" s="97">
        <f t="shared" si="187"/>
        <v>393.34644567879366</v>
      </c>
      <c r="P575" s="97">
        <f t="shared" si="187"/>
        <v>424.61732867406806</v>
      </c>
      <c r="Q575" s="97">
        <f t="shared" si="187"/>
        <v>448.61830624483332</v>
      </c>
      <c r="R575" s="97">
        <f t="shared" si="187"/>
        <v>464.72830905069179</v>
      </c>
      <c r="S575" s="97">
        <f t="shared" si="187"/>
        <v>473.01435173019246</v>
      </c>
      <c r="T575" s="97">
        <f t="shared" si="187"/>
        <v>473.01435173019246</v>
      </c>
      <c r="U575" s="97">
        <f t="shared" si="187"/>
        <v>464.72830905069179</v>
      </c>
      <c r="V575" s="97">
        <f t="shared" si="187"/>
        <v>448.61830624483332</v>
      </c>
      <c r="W575" s="97">
        <f t="shared" si="187"/>
        <v>424.61732867406806</v>
      </c>
      <c r="X575" s="97">
        <f t="shared" si="187"/>
        <v>393.34644567879366</v>
      </c>
      <c r="Y575" s="97">
        <f t="shared" si="187"/>
        <v>355.29969859436136</v>
      </c>
      <c r="Z575" s="97">
        <f t="shared" si="187"/>
        <v>310.86577828916592</v>
      </c>
      <c r="AA575" s="97">
        <f t="shared" si="187"/>
        <v>261.23174890736044</v>
      </c>
      <c r="AB575" s="97">
        <f t="shared" si="187"/>
        <v>206.91375680732412</v>
      </c>
      <c r="AC575" s="97">
        <f t="shared" si="187"/>
        <v>149.11895813557007</v>
      </c>
      <c r="AD575" s="97">
        <f t="shared" si="187"/>
        <v>88.644640555100963</v>
      </c>
      <c r="AE575" s="97">
        <f t="shared" si="187"/>
        <v>26.97278562355736</v>
      </c>
      <c r="AF575" s="28"/>
      <c r="AG575" s="11"/>
    </row>
    <row r="576" spans="1:33">
      <c r="B576" s="24" t="s">
        <v>938</v>
      </c>
      <c r="C576" s="14" t="s">
        <v>897</v>
      </c>
      <c r="D576" s="24" t="s">
        <v>1098</v>
      </c>
      <c r="I576" s="24"/>
      <c r="AF576" s="28"/>
      <c r="AG576" s="11"/>
    </row>
    <row r="577" spans="1:33">
      <c r="A577" s="20" t="s">
        <v>896</v>
      </c>
      <c r="B577" s="11"/>
      <c r="C577" s="11"/>
      <c r="E577" s="14" t="s">
        <v>563</v>
      </c>
      <c r="F577" s="31">
        <f>$F$15</f>
        <v>0.7</v>
      </c>
      <c r="G577" s="19">
        <f>SUM(H577:AE577)/48</f>
        <v>148.51255992012196</v>
      </c>
      <c r="H577" s="2">
        <f>H575*(1-($F$16+$F$13)*$H$491)</f>
        <v>26.680324900650952</v>
      </c>
      <c r="I577" s="2">
        <f t="shared" ref="I577:AE577" si="188">I575*(1-($F$16+$F$13)*$H$491)</f>
        <v>87.683483779514489</v>
      </c>
      <c r="J577" s="2">
        <f t="shared" si="188"/>
        <v>147.50208997430423</v>
      </c>
      <c r="K577" s="2">
        <f t="shared" si="188"/>
        <v>204.67023076816341</v>
      </c>
      <c r="L577" s="2">
        <f t="shared" si="188"/>
        <v>258.39926333476069</v>
      </c>
      <c r="M577" s="2">
        <f t="shared" si="188"/>
        <v>307.49512048933121</v>
      </c>
      <c r="N577" s="2">
        <f t="shared" si="188"/>
        <v>351.44725234911397</v>
      </c>
      <c r="O577" s="2">
        <f t="shared" si="188"/>
        <v>389.08146587798973</v>
      </c>
      <c r="P577" s="2">
        <f t="shared" si="188"/>
        <v>420.01328470783614</v>
      </c>
      <c r="Q577" s="2">
        <f t="shared" si="188"/>
        <v>443.75402429841017</v>
      </c>
      <c r="R577" s="2">
        <f t="shared" si="188"/>
        <v>459.6893494446312</v>
      </c>
      <c r="S577" s="2">
        <f t="shared" si="188"/>
        <v>467.88554815822113</v>
      </c>
      <c r="T577" s="2">
        <f t="shared" si="188"/>
        <v>467.88554815822113</v>
      </c>
      <c r="U577" s="2">
        <f t="shared" si="188"/>
        <v>459.6893494446312</v>
      </c>
      <c r="V577" s="2">
        <f t="shared" si="188"/>
        <v>443.75402429841017</v>
      </c>
      <c r="W577" s="2">
        <f t="shared" si="188"/>
        <v>420.01328470783614</v>
      </c>
      <c r="X577" s="2">
        <f t="shared" si="188"/>
        <v>389.08146587798973</v>
      </c>
      <c r="Y577" s="2">
        <f t="shared" si="188"/>
        <v>351.44725234911397</v>
      </c>
      <c r="Z577" s="2">
        <f t="shared" si="188"/>
        <v>307.49512048933121</v>
      </c>
      <c r="AA577" s="2">
        <f t="shared" si="188"/>
        <v>258.39926333476069</v>
      </c>
      <c r="AB577" s="2">
        <f t="shared" si="188"/>
        <v>204.67023076816341</v>
      </c>
      <c r="AC577" s="2">
        <f t="shared" si="188"/>
        <v>147.50208997430423</v>
      </c>
      <c r="AD577" s="2">
        <f t="shared" si="188"/>
        <v>87.683483779514489</v>
      </c>
      <c r="AE577" s="2">
        <f t="shared" si="188"/>
        <v>26.680324900650952</v>
      </c>
      <c r="AF577" s="28"/>
      <c r="AG577" s="11"/>
    </row>
    <row r="578" spans="1:33">
      <c r="A578" s="3"/>
      <c r="B578" s="5" t="s">
        <v>88</v>
      </c>
      <c r="C578" s="11"/>
      <c r="D578" t="s">
        <v>1068</v>
      </c>
      <c r="F578" s="27"/>
      <c r="G578" s="2"/>
      <c r="H578" s="2" t="s">
        <v>898</v>
      </c>
      <c r="I578" s="2"/>
      <c r="J578" s="2" t="s">
        <v>899</v>
      </c>
      <c r="K578" s="2"/>
      <c r="L578" t="s">
        <v>253</v>
      </c>
      <c r="M578" s="2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11"/>
    </row>
    <row r="579" spans="1:33">
      <c r="A579" t="s">
        <v>834</v>
      </c>
      <c r="B579" s="5"/>
      <c r="C579" s="11"/>
      <c r="D579" s="5" t="s">
        <v>23</v>
      </c>
      <c r="F579" t="s">
        <v>1099</v>
      </c>
      <c r="G579" s="97">
        <f>SUM(H579:AE579)/48</f>
        <v>1.596024109807691</v>
      </c>
      <c r="H579" s="97">
        <f>H575*$H$491*$F$16</f>
        <v>0.28672619892785184</v>
      </c>
      <c r="I579" s="97">
        <f t="shared" ref="I579:AE579" si="189">I575*$H$491*$F$16</f>
        <v>0.94231056430046478</v>
      </c>
      <c r="J579" s="97">
        <f t="shared" si="189"/>
        <v>1.5851648639861347</v>
      </c>
      <c r="K579" s="97">
        <f t="shared" si="189"/>
        <v>2.1995353325105111</v>
      </c>
      <c r="L579" s="97">
        <f t="shared" si="189"/>
        <v>2.7769466398036742</v>
      </c>
      <c r="M579" s="97">
        <f t="shared" si="189"/>
        <v>3.3045664704261766</v>
      </c>
      <c r="N579" s="97">
        <f t="shared" si="189"/>
        <v>3.7769080835758642</v>
      </c>
      <c r="O579" s="97">
        <f t="shared" si="189"/>
        <v>4.181352745886195</v>
      </c>
      <c r="P579" s="97">
        <f t="shared" si="189"/>
        <v>4.513768594345013</v>
      </c>
      <c r="Q579" s="97">
        <f t="shared" si="189"/>
        <v>4.7689038690423295</v>
      </c>
      <c r="R579" s="97">
        <f t="shared" si="189"/>
        <v>4.9401564765300252</v>
      </c>
      <c r="S579" s="97">
        <f t="shared" si="189"/>
        <v>5.0282387960503421</v>
      </c>
      <c r="T579" s="97">
        <f t="shared" si="189"/>
        <v>5.0282387960503421</v>
      </c>
      <c r="U579" s="97">
        <f t="shared" si="189"/>
        <v>4.9401564765300252</v>
      </c>
      <c r="V579" s="97">
        <f t="shared" si="189"/>
        <v>4.7689038690423295</v>
      </c>
      <c r="W579" s="97">
        <f t="shared" si="189"/>
        <v>4.513768594345013</v>
      </c>
      <c r="X579" s="97">
        <f t="shared" si="189"/>
        <v>4.181352745886195</v>
      </c>
      <c r="Y579" s="97">
        <f t="shared" si="189"/>
        <v>3.7769080835758642</v>
      </c>
      <c r="Z579" s="97">
        <f t="shared" si="189"/>
        <v>3.3045664704261766</v>
      </c>
      <c r="AA579" s="97">
        <f t="shared" si="189"/>
        <v>2.7769466398036742</v>
      </c>
      <c r="AB579" s="97">
        <f t="shared" si="189"/>
        <v>2.1995353325105111</v>
      </c>
      <c r="AC579" s="97">
        <f t="shared" si="189"/>
        <v>1.5851648639861347</v>
      </c>
      <c r="AD579" s="97">
        <f t="shared" si="189"/>
        <v>0.94231056430046478</v>
      </c>
      <c r="AE579" s="97">
        <f t="shared" si="189"/>
        <v>0.28672619892785184</v>
      </c>
      <c r="AF579" s="28"/>
      <c r="AG579" s="11"/>
    </row>
    <row r="580" spans="1:33">
      <c r="A580" t="s">
        <v>930</v>
      </c>
      <c r="B580" s="5"/>
      <c r="C580" s="11"/>
      <c r="D580" s="5" t="s">
        <v>30</v>
      </c>
      <c r="G580" s="97">
        <f>SUM(H580:AE580)/48</f>
        <v>1.1172168768653836</v>
      </c>
      <c r="H580" s="97">
        <f>H579*$F$15</f>
        <v>0.20070833924949627</v>
      </c>
      <c r="I580" s="97">
        <f t="shared" ref="I580:AE580" si="190">I579*$F$15</f>
        <v>0.65961739501032535</v>
      </c>
      <c r="J580" s="97">
        <f t="shared" si="190"/>
        <v>1.1096154047902942</v>
      </c>
      <c r="K580" s="97">
        <f t="shared" si="190"/>
        <v>1.5396747327573577</v>
      </c>
      <c r="L580" s="97">
        <f t="shared" si="190"/>
        <v>1.9438626478625718</v>
      </c>
      <c r="M580" s="97">
        <f t="shared" si="190"/>
        <v>2.3131965292983234</v>
      </c>
      <c r="N580" s="97">
        <f t="shared" si="190"/>
        <v>2.6438356585031046</v>
      </c>
      <c r="O580" s="97">
        <f t="shared" si="190"/>
        <v>2.9269469221203361</v>
      </c>
      <c r="P580" s="97">
        <f t="shared" si="190"/>
        <v>3.1596380160415087</v>
      </c>
      <c r="Q580" s="97">
        <f t="shared" si="190"/>
        <v>3.3382327083296306</v>
      </c>
      <c r="R580" s="97">
        <f t="shared" si="190"/>
        <v>3.4581095335710175</v>
      </c>
      <c r="S580" s="97">
        <f t="shared" si="190"/>
        <v>3.5197671572352394</v>
      </c>
      <c r="T580" s="97">
        <f t="shared" si="190"/>
        <v>3.5197671572352394</v>
      </c>
      <c r="U580" s="97">
        <f t="shared" si="190"/>
        <v>3.4581095335710175</v>
      </c>
      <c r="V580" s="97">
        <f t="shared" si="190"/>
        <v>3.3382327083296306</v>
      </c>
      <c r="W580" s="97">
        <f t="shared" si="190"/>
        <v>3.1596380160415087</v>
      </c>
      <c r="X580" s="97">
        <f t="shared" si="190"/>
        <v>2.9269469221203361</v>
      </c>
      <c r="Y580" s="97">
        <f t="shared" si="190"/>
        <v>2.6438356585031046</v>
      </c>
      <c r="Z580" s="97">
        <f t="shared" si="190"/>
        <v>2.3131965292983234</v>
      </c>
      <c r="AA580" s="97">
        <f t="shared" si="190"/>
        <v>1.9438626478625718</v>
      </c>
      <c r="AB580" s="97">
        <f t="shared" si="190"/>
        <v>1.5396747327573577</v>
      </c>
      <c r="AC580" s="97">
        <f t="shared" si="190"/>
        <v>1.1096154047902942</v>
      </c>
      <c r="AD580" s="97">
        <f t="shared" si="190"/>
        <v>0.65961739501032535</v>
      </c>
      <c r="AE580" s="97">
        <f t="shared" si="190"/>
        <v>0.20070833924949627</v>
      </c>
      <c r="AF580" s="28"/>
      <c r="AG580" s="11"/>
    </row>
    <row r="581" spans="1:33">
      <c r="A581" s="20" t="s">
        <v>835</v>
      </c>
      <c r="B581" s="5"/>
      <c r="C581" s="11"/>
      <c r="G581" s="19">
        <f>SUM(H581:AE581)/48</f>
        <v>1.1051031093068</v>
      </c>
      <c r="H581" s="24">
        <f>H580*(1-($F$16+$F$13)*$H$491)</f>
        <v>0.19853209735852206</v>
      </c>
      <c r="I581" s="24">
        <f t="shared" ref="I581:AE581" si="191">I580*(1-($F$16+$F$13)*$H$491)</f>
        <v>0.65246529055664682</v>
      </c>
      <c r="J581" s="24">
        <f t="shared" si="191"/>
        <v>1.0975840585303207</v>
      </c>
      <c r="K581" s="24">
        <f t="shared" si="191"/>
        <v>1.5229803359802716</v>
      </c>
      <c r="L581" s="24">
        <f t="shared" si="191"/>
        <v>1.9227857193184124</v>
      </c>
      <c r="M581" s="24">
        <f t="shared" si="191"/>
        <v>2.2881149845656088</v>
      </c>
      <c r="N581" s="24">
        <f t="shared" si="191"/>
        <v>2.6151690573324697</v>
      </c>
      <c r="O581" s="24">
        <f t="shared" si="191"/>
        <v>2.8952106000103806</v>
      </c>
      <c r="P581" s="24">
        <f t="shared" si="191"/>
        <v>3.1253786691875818</v>
      </c>
      <c r="Q581" s="24">
        <f t="shared" si="191"/>
        <v>3.3020368936023887</v>
      </c>
      <c r="R581" s="24">
        <f t="shared" si="191"/>
        <v>3.4206139175010768</v>
      </c>
      <c r="S581" s="24">
        <f t="shared" si="191"/>
        <v>3.4816029994195112</v>
      </c>
      <c r="T581" s="24">
        <f t="shared" si="191"/>
        <v>3.4816029994195112</v>
      </c>
      <c r="U581" s="24">
        <f t="shared" si="191"/>
        <v>3.4206139175010768</v>
      </c>
      <c r="V581" s="24">
        <f t="shared" si="191"/>
        <v>3.3020368936023887</v>
      </c>
      <c r="W581" s="24">
        <f t="shared" si="191"/>
        <v>3.1253786691875818</v>
      </c>
      <c r="X581" s="24">
        <f t="shared" si="191"/>
        <v>2.8952106000103806</v>
      </c>
      <c r="Y581" s="24">
        <f t="shared" si="191"/>
        <v>2.6151690573324697</v>
      </c>
      <c r="Z581" s="24">
        <f t="shared" si="191"/>
        <v>2.2881149845656088</v>
      </c>
      <c r="AA581" s="24">
        <f t="shared" si="191"/>
        <v>1.9227857193184124</v>
      </c>
      <c r="AB581" s="24">
        <f t="shared" si="191"/>
        <v>1.5229803359802716</v>
      </c>
      <c r="AC581" s="24">
        <f t="shared" si="191"/>
        <v>1.0975840585303207</v>
      </c>
      <c r="AD581" s="24">
        <f t="shared" si="191"/>
        <v>0.65246529055664682</v>
      </c>
      <c r="AE581" s="24">
        <f t="shared" si="191"/>
        <v>0.19853209735852206</v>
      </c>
      <c r="AF581" s="28"/>
      <c r="AG581" s="11"/>
    </row>
    <row r="582" spans="1:33">
      <c r="A582" s="20"/>
      <c r="B582" s="24" t="s">
        <v>33</v>
      </c>
      <c r="C582" s="11"/>
      <c r="D582" t="s">
        <v>1068</v>
      </c>
      <c r="G582" s="27"/>
      <c r="H582" s="24" t="s">
        <v>900</v>
      </c>
      <c r="K582" t="s">
        <v>853</v>
      </c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8"/>
      <c r="AG582" s="11"/>
    </row>
    <row r="583" spans="1:33">
      <c r="A583" s="100" t="s">
        <v>836</v>
      </c>
      <c r="B583" s="5"/>
      <c r="C583" s="11"/>
      <c r="G583" s="19">
        <f>SUM(H583:AE583)/48</f>
        <v>8.2232296235174428E-3</v>
      </c>
      <c r="H583" s="2">
        <f>H581^2/H577</f>
        <v>1.4773056110951642E-3</v>
      </c>
      <c r="I583" s="2">
        <f t="shared" ref="I583:AE583" si="192">I581^2/I577</f>
        <v>4.8550871501826494E-3</v>
      </c>
      <c r="J583" s="2">
        <f t="shared" si="192"/>
        <v>8.1672792958374686E-3</v>
      </c>
      <c r="K583" s="2">
        <f t="shared" si="192"/>
        <v>1.1332713580657065E-2</v>
      </c>
      <c r="L583" s="2">
        <f t="shared" si="192"/>
        <v>1.4307722377773042E-2</v>
      </c>
      <c r="M583" s="2">
        <f t="shared" si="192"/>
        <v>1.702618947013608E-2</v>
      </c>
      <c r="N583" s="2">
        <f t="shared" si="192"/>
        <v>1.9459845404156111E-2</v>
      </c>
      <c r="O583" s="2">
        <f t="shared" si="192"/>
        <v>2.1543674406328615E-2</v>
      </c>
      <c r="P583" s="2">
        <f t="shared" si="192"/>
        <v>2.3256387789275322E-2</v>
      </c>
      <c r="Q583" s="2">
        <f t="shared" si="192"/>
        <v>2.457092679655137E-2</v>
      </c>
      <c r="R583" s="2">
        <f t="shared" si="192"/>
        <v>2.5453275318947501E-2</v>
      </c>
      <c r="S583" s="2">
        <f t="shared" si="192"/>
        <v>2.5907103763478257E-2</v>
      </c>
      <c r="T583" s="2">
        <f t="shared" si="192"/>
        <v>2.5907103763478257E-2</v>
      </c>
      <c r="U583" s="2">
        <f t="shared" si="192"/>
        <v>2.5453275318947501E-2</v>
      </c>
      <c r="V583" s="2">
        <f t="shared" si="192"/>
        <v>2.457092679655137E-2</v>
      </c>
      <c r="W583" s="2">
        <f t="shared" si="192"/>
        <v>2.3256387789275322E-2</v>
      </c>
      <c r="X583" s="2">
        <f t="shared" si="192"/>
        <v>2.1543674406328615E-2</v>
      </c>
      <c r="Y583" s="2">
        <f t="shared" si="192"/>
        <v>1.9459845404156111E-2</v>
      </c>
      <c r="Z583" s="2">
        <f t="shared" si="192"/>
        <v>1.702618947013608E-2</v>
      </c>
      <c r="AA583" s="2">
        <f t="shared" si="192"/>
        <v>1.4307722377773042E-2</v>
      </c>
      <c r="AB583" s="2">
        <f t="shared" si="192"/>
        <v>1.1332713580657065E-2</v>
      </c>
      <c r="AC583" s="2">
        <f t="shared" si="192"/>
        <v>8.1672792958374686E-3</v>
      </c>
      <c r="AD583" s="2">
        <f t="shared" si="192"/>
        <v>4.8550871501826494E-3</v>
      </c>
      <c r="AE583" s="2">
        <f t="shared" si="192"/>
        <v>1.4773056110951642E-3</v>
      </c>
      <c r="AF583" s="28"/>
      <c r="AG583" s="11"/>
    </row>
    <row r="584" spans="1:33">
      <c r="A584" s="100"/>
      <c r="B584" s="24" t="s">
        <v>1100</v>
      </c>
      <c r="C584" s="11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8"/>
      <c r="AG584" s="11"/>
    </row>
    <row r="585" spans="1:33">
      <c r="A585" s="20" t="s">
        <v>901</v>
      </c>
      <c r="B585" s="11"/>
      <c r="C585" s="11"/>
      <c r="D585" s="24"/>
      <c r="E585" s="27"/>
      <c r="F585" s="6"/>
      <c r="G585" s="19">
        <f>SUM(H585:AE585)/24</f>
        <v>287.79363793079938</v>
      </c>
      <c r="H585" s="2">
        <f t="shared" ref="H585:AE585" si="193">$M$9*($F$7+273)^4*(1-$H$491)</f>
        <v>287.79363793079938</v>
      </c>
      <c r="I585" s="2">
        <f t="shared" si="193"/>
        <v>287.79363793079938</v>
      </c>
      <c r="J585" s="2">
        <f t="shared" si="193"/>
        <v>287.79363793079938</v>
      </c>
      <c r="K585" s="2">
        <f t="shared" si="193"/>
        <v>287.79363793079938</v>
      </c>
      <c r="L585" s="2">
        <f t="shared" si="193"/>
        <v>287.79363793079938</v>
      </c>
      <c r="M585" s="2">
        <f t="shared" si="193"/>
        <v>287.79363793079938</v>
      </c>
      <c r="N585" s="2">
        <f t="shared" si="193"/>
        <v>287.79363793079938</v>
      </c>
      <c r="O585" s="2">
        <f t="shared" si="193"/>
        <v>287.79363793079938</v>
      </c>
      <c r="P585" s="2">
        <f t="shared" si="193"/>
        <v>287.79363793079938</v>
      </c>
      <c r="Q585" s="2">
        <f t="shared" si="193"/>
        <v>287.79363793079938</v>
      </c>
      <c r="R585" s="2">
        <f t="shared" si="193"/>
        <v>287.79363793079938</v>
      </c>
      <c r="S585" s="2">
        <f t="shared" si="193"/>
        <v>287.79363793079938</v>
      </c>
      <c r="T585" s="2">
        <f t="shared" si="193"/>
        <v>287.79363793079938</v>
      </c>
      <c r="U585" s="2">
        <f t="shared" si="193"/>
        <v>287.79363793079938</v>
      </c>
      <c r="V585" s="2">
        <f t="shared" si="193"/>
        <v>287.79363793079938</v>
      </c>
      <c r="W585" s="2">
        <f t="shared" si="193"/>
        <v>287.79363793079938</v>
      </c>
      <c r="X585" s="2">
        <f t="shared" si="193"/>
        <v>287.79363793079938</v>
      </c>
      <c r="Y585" s="2">
        <f t="shared" si="193"/>
        <v>287.79363793079938</v>
      </c>
      <c r="Z585" s="2">
        <f t="shared" si="193"/>
        <v>287.79363793079938</v>
      </c>
      <c r="AA585" s="2">
        <f t="shared" si="193"/>
        <v>287.79363793079938</v>
      </c>
      <c r="AB585" s="2">
        <f t="shared" si="193"/>
        <v>287.79363793079938</v>
      </c>
      <c r="AC585" s="2">
        <f t="shared" si="193"/>
        <v>287.79363793079938</v>
      </c>
      <c r="AD585" s="2">
        <f t="shared" si="193"/>
        <v>287.79363793079938</v>
      </c>
      <c r="AE585" s="2">
        <f t="shared" si="193"/>
        <v>287.79363793079938</v>
      </c>
      <c r="AF585" s="28"/>
      <c r="AG585" s="11"/>
    </row>
    <row r="586" spans="1:33">
      <c r="A586" s="14"/>
      <c r="B586" s="5" t="s">
        <v>1074</v>
      </c>
      <c r="D586" t="s">
        <v>1056</v>
      </c>
      <c r="E586" s="12"/>
      <c r="F586" s="6"/>
      <c r="G586" s="2"/>
      <c r="H586" s="2" t="s">
        <v>1075</v>
      </c>
      <c r="J586" s="10"/>
      <c r="K586" s="9"/>
      <c r="AF586" s="2"/>
    </row>
    <row r="587" spans="1:33">
      <c r="A587" s="20" t="s">
        <v>914</v>
      </c>
      <c r="B587" s="11"/>
      <c r="C587" s="11"/>
      <c r="D587" s="11"/>
      <c r="E587" s="27"/>
      <c r="F587" s="6"/>
      <c r="G587" s="19">
        <f>SUM(H587:AE587)/24</f>
        <v>2.5618512323568008</v>
      </c>
      <c r="H587" s="24">
        <f t="shared" ref="H587:AE587" si="194">$M$9*($F$9+273)^4*$F$10*$F$18</f>
        <v>2.5618512323567995</v>
      </c>
      <c r="I587" s="24">
        <f t="shared" si="194"/>
        <v>2.5618512323567995</v>
      </c>
      <c r="J587" s="24">
        <f t="shared" si="194"/>
        <v>2.5618512323567995</v>
      </c>
      <c r="K587" s="24">
        <f t="shared" si="194"/>
        <v>2.5618512323567995</v>
      </c>
      <c r="L587" s="24">
        <f t="shared" si="194"/>
        <v>2.5618512323567995</v>
      </c>
      <c r="M587" s="24">
        <f t="shared" si="194"/>
        <v>2.5618512323567995</v>
      </c>
      <c r="N587" s="24">
        <f t="shared" si="194"/>
        <v>2.5618512323567995</v>
      </c>
      <c r="O587" s="24">
        <f t="shared" si="194"/>
        <v>2.5618512323567995</v>
      </c>
      <c r="P587" s="24">
        <f t="shared" si="194"/>
        <v>2.5618512323567995</v>
      </c>
      <c r="Q587" s="24">
        <f t="shared" si="194"/>
        <v>2.5618512323567995</v>
      </c>
      <c r="R587" s="24">
        <f t="shared" si="194"/>
        <v>2.5618512323567995</v>
      </c>
      <c r="S587" s="24">
        <f t="shared" si="194"/>
        <v>2.5618512323567995</v>
      </c>
      <c r="T587" s="24">
        <f t="shared" si="194"/>
        <v>2.5618512323567995</v>
      </c>
      <c r="U587" s="24">
        <f t="shared" si="194"/>
        <v>2.5618512323567995</v>
      </c>
      <c r="V587" s="24">
        <f t="shared" si="194"/>
        <v>2.5618512323567995</v>
      </c>
      <c r="W587" s="24">
        <f t="shared" si="194"/>
        <v>2.5618512323567995</v>
      </c>
      <c r="X587" s="24">
        <f t="shared" si="194"/>
        <v>2.5618512323567995</v>
      </c>
      <c r="Y587" s="24">
        <f t="shared" si="194"/>
        <v>2.5618512323567995</v>
      </c>
      <c r="Z587" s="24">
        <f t="shared" si="194"/>
        <v>2.5618512323567995</v>
      </c>
      <c r="AA587" s="24">
        <f t="shared" si="194"/>
        <v>2.5618512323567995</v>
      </c>
      <c r="AB587" s="24">
        <f t="shared" si="194"/>
        <v>2.5618512323567995</v>
      </c>
      <c r="AC587" s="24">
        <f t="shared" si="194"/>
        <v>2.5618512323567995</v>
      </c>
      <c r="AD587" s="24">
        <f t="shared" si="194"/>
        <v>2.5618512323567995</v>
      </c>
      <c r="AE587" s="24">
        <f t="shared" si="194"/>
        <v>2.5618512323567995</v>
      </c>
      <c r="AF587" s="28"/>
      <c r="AG587" s="11"/>
    </row>
    <row r="588" spans="1:33">
      <c r="A588" s="20"/>
      <c r="B588" s="5" t="s">
        <v>923</v>
      </c>
      <c r="C588" s="11"/>
      <c r="D588" t="s">
        <v>743</v>
      </c>
      <c r="E588" s="27"/>
      <c r="F588" s="6"/>
      <c r="G588" s="28"/>
      <c r="H588" t="s">
        <v>717</v>
      </c>
      <c r="I588" s="29"/>
      <c r="J588" s="11"/>
      <c r="K588" s="2" t="s">
        <v>719</v>
      </c>
      <c r="L588" s="11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11"/>
    </row>
    <row r="589" spans="1:33">
      <c r="A589" s="20"/>
      <c r="B589" s="27" t="s">
        <v>925</v>
      </c>
      <c r="C589" s="11" t="s">
        <v>924</v>
      </c>
      <c r="E589" s="27"/>
      <c r="F589" s="6"/>
      <c r="G589" s="28"/>
      <c r="I589" s="29"/>
      <c r="J589" s="11"/>
      <c r="K589" s="2"/>
      <c r="L589" s="11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11"/>
    </row>
    <row r="590" spans="1:33">
      <c r="A590" s="20"/>
      <c r="B590" s="14"/>
      <c r="C590" t="s">
        <v>926</v>
      </c>
      <c r="E590" s="27"/>
      <c r="F590" s="6"/>
      <c r="G590" s="28"/>
      <c r="I590" s="29"/>
      <c r="J590" s="11"/>
      <c r="K590" s="2"/>
      <c r="L590" s="11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11"/>
    </row>
    <row r="591" spans="1:33">
      <c r="A591" s="20"/>
      <c r="B591" s="16" t="s">
        <v>742</v>
      </c>
      <c r="C591" s="11"/>
      <c r="D591" s="11"/>
      <c r="E591" s="21"/>
      <c r="F591" s="21"/>
      <c r="G591" s="82">
        <f>G571+G577+G581+G583+G585+G587</f>
        <v>443.35694847635483</v>
      </c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8"/>
      <c r="AG591" s="11"/>
    </row>
    <row r="592" spans="1:33">
      <c r="A592" s="20"/>
      <c r="B592" s="16" t="s">
        <v>730</v>
      </c>
      <c r="C592" s="11"/>
      <c r="D592" s="11"/>
      <c r="E592" s="21"/>
      <c r="F592" s="21"/>
      <c r="G592" s="82">
        <f>G568-G591</f>
        <v>3.2388728284316244</v>
      </c>
      <c r="H592" s="24"/>
      <c r="I592" s="32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8"/>
      <c r="AG592" s="11"/>
    </row>
    <row r="593" spans="1:33">
      <c r="A593" s="20"/>
      <c r="B593" s="16"/>
      <c r="C593" s="11"/>
      <c r="D593" s="11"/>
      <c r="E593" s="21"/>
      <c r="F593" s="21"/>
      <c r="G593" s="82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8"/>
      <c r="AG593" s="11"/>
    </row>
    <row r="594" spans="1:33">
      <c r="A594" s="20"/>
      <c r="B594" s="16"/>
      <c r="C594" s="11"/>
      <c r="D594" s="11"/>
      <c r="E594" s="21"/>
      <c r="F594" s="21"/>
      <c r="G594" s="82"/>
      <c r="H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8"/>
      <c r="AG594" s="11"/>
    </row>
    <row r="595" spans="1:33" ht="18.75">
      <c r="A595" s="85" t="s">
        <v>510</v>
      </c>
      <c r="B595" s="30" t="s">
        <v>609</v>
      </c>
      <c r="H595" s="4" t="s">
        <v>484</v>
      </c>
      <c r="I595" s="4" t="s">
        <v>486</v>
      </c>
      <c r="J595" s="4" t="s">
        <v>485</v>
      </c>
      <c r="K595" s="4" t="s">
        <v>487</v>
      </c>
      <c r="L595" s="4" t="s">
        <v>488</v>
      </c>
      <c r="M595" s="4" t="s">
        <v>489</v>
      </c>
      <c r="N595" s="4" t="s">
        <v>490</v>
      </c>
      <c r="O595" s="4" t="s">
        <v>491</v>
      </c>
      <c r="P595" s="4" t="s">
        <v>494</v>
      </c>
      <c r="Q595" s="4" t="s">
        <v>492</v>
      </c>
      <c r="R595" s="4" t="s">
        <v>495</v>
      </c>
      <c r="S595" s="4" t="s">
        <v>493</v>
      </c>
      <c r="T595" s="4" t="s">
        <v>515</v>
      </c>
      <c r="U595" s="4" t="s">
        <v>517</v>
      </c>
      <c r="V595" s="4" t="s">
        <v>518</v>
      </c>
      <c r="W595" s="4" t="s">
        <v>516</v>
      </c>
      <c r="X595" s="4" t="s">
        <v>519</v>
      </c>
      <c r="Y595" s="4" t="s">
        <v>520</v>
      </c>
      <c r="Z595" s="4" t="s">
        <v>521</v>
      </c>
      <c r="AA595" s="4" t="s">
        <v>522</v>
      </c>
      <c r="AB595" s="4" t="s">
        <v>523</v>
      </c>
      <c r="AC595" s="4" t="s">
        <v>524</v>
      </c>
      <c r="AD595" s="4" t="s">
        <v>525</v>
      </c>
      <c r="AE595" s="4" t="s">
        <v>526</v>
      </c>
      <c r="AF595" s="2"/>
    </row>
    <row r="596" spans="1:33">
      <c r="A596" s="3" t="s">
        <v>722</v>
      </c>
      <c r="G596" t="s">
        <v>535</v>
      </c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2"/>
    </row>
    <row r="597" spans="1:33">
      <c r="A597" t="s">
        <v>561</v>
      </c>
      <c r="B597" s="11"/>
      <c r="C597" s="11"/>
      <c r="D597" s="5" t="s">
        <v>1101</v>
      </c>
      <c r="E597" s="12"/>
      <c r="F597" s="6"/>
      <c r="G597" s="2">
        <f>SUM(H597:AE597)/48</f>
        <v>184.1470466962783</v>
      </c>
      <c r="H597" s="2">
        <f>H$67</f>
        <v>37.453394473334477</v>
      </c>
      <c r="I597" s="2">
        <f t="shared" ref="I597:AE597" si="195">I$67</f>
        <v>112.48550293278892</v>
      </c>
      <c r="J597" s="2">
        <f t="shared" si="195"/>
        <v>185.75956375912159</v>
      </c>
      <c r="K597" s="2">
        <f t="shared" si="195"/>
        <v>255.68152047116101</v>
      </c>
      <c r="L597" s="2">
        <f t="shared" si="195"/>
        <v>321.207366934851</v>
      </c>
      <c r="M597" s="2">
        <f t="shared" si="195"/>
        <v>381.1517230301892</v>
      </c>
      <c r="N597" s="2">
        <f t="shared" si="195"/>
        <v>434.66038844890574</v>
      </c>
      <c r="O597" s="2">
        <f t="shared" si="195"/>
        <v>480.74419486819488</v>
      </c>
      <c r="P597" s="2">
        <f t="shared" si="195"/>
        <v>518.71657007614999</v>
      </c>
      <c r="Q597" s="2">
        <f t="shared" si="195"/>
        <v>547.49575095305079</v>
      </c>
      <c r="R597" s="2">
        <f t="shared" si="195"/>
        <v>567.10275855852819</v>
      </c>
      <c r="S597" s="2">
        <f t="shared" si="195"/>
        <v>577.0703862044046</v>
      </c>
      <c r="T597" s="2">
        <f t="shared" si="195"/>
        <v>577.0703862044046</v>
      </c>
      <c r="U597" s="2">
        <f t="shared" si="195"/>
        <v>567.10275855852819</v>
      </c>
      <c r="V597" s="2">
        <f t="shared" si="195"/>
        <v>547.49575095305079</v>
      </c>
      <c r="W597" s="2">
        <f t="shared" si="195"/>
        <v>518.71657007614999</v>
      </c>
      <c r="X597" s="2">
        <f t="shared" si="195"/>
        <v>480.74419486819488</v>
      </c>
      <c r="Y597" s="2">
        <f t="shared" si="195"/>
        <v>434.66038844890574</v>
      </c>
      <c r="Z597" s="2">
        <f t="shared" si="195"/>
        <v>381.1517230301892</v>
      </c>
      <c r="AA597" s="2">
        <f t="shared" si="195"/>
        <v>321.207366934851</v>
      </c>
      <c r="AB597" s="2">
        <f t="shared" si="195"/>
        <v>255.68152047116101</v>
      </c>
      <c r="AC597" s="2">
        <f t="shared" si="195"/>
        <v>185.75956375912159</v>
      </c>
      <c r="AD597" s="2">
        <f t="shared" si="195"/>
        <v>112.48550293278892</v>
      </c>
      <c r="AE597" s="2">
        <f t="shared" si="195"/>
        <v>37.453394473334477</v>
      </c>
      <c r="AF597" s="2"/>
    </row>
    <row r="598" spans="1:33">
      <c r="A598" s="20" t="s">
        <v>824</v>
      </c>
      <c r="B598" s="11"/>
      <c r="C598" s="11"/>
      <c r="D598" t="s">
        <v>1103</v>
      </c>
      <c r="E598" s="12"/>
      <c r="F598" s="18"/>
      <c r="G598" s="19">
        <f>SUM(H598:AE598)/48</f>
        <v>128.90293268739484</v>
      </c>
      <c r="H598" s="2">
        <f>H$67*$S$20</f>
        <v>26.217376131334131</v>
      </c>
      <c r="I598" s="2">
        <f t="shared" ref="I598:AE598" si="196">I$67*$S$20</f>
        <v>78.739852052952244</v>
      </c>
      <c r="J598" s="2">
        <f t="shared" si="196"/>
        <v>130.03169463138511</v>
      </c>
      <c r="K598" s="2">
        <f t="shared" si="196"/>
        <v>178.97706432981269</v>
      </c>
      <c r="L598" s="2">
        <f t="shared" si="196"/>
        <v>224.84515685439567</v>
      </c>
      <c r="M598" s="2">
        <f t="shared" si="196"/>
        <v>266.80620612113245</v>
      </c>
      <c r="N598" s="2">
        <f t="shared" si="196"/>
        <v>304.26227191423402</v>
      </c>
      <c r="O598" s="2">
        <f t="shared" si="196"/>
        <v>336.52093640773637</v>
      </c>
      <c r="P598" s="2">
        <f t="shared" si="196"/>
        <v>363.10159905330499</v>
      </c>
      <c r="Q598" s="2">
        <f t="shared" si="196"/>
        <v>383.24702566713552</v>
      </c>
      <c r="R598" s="2">
        <f t="shared" si="196"/>
        <v>396.97193099096972</v>
      </c>
      <c r="S598" s="2">
        <f t="shared" si="196"/>
        <v>403.94927034308319</v>
      </c>
      <c r="T598" s="2">
        <f t="shared" si="196"/>
        <v>403.94927034308319</v>
      </c>
      <c r="U598" s="2">
        <f t="shared" si="196"/>
        <v>396.97193099096972</v>
      </c>
      <c r="V598" s="2">
        <f t="shared" si="196"/>
        <v>383.24702566713552</v>
      </c>
      <c r="W598" s="2">
        <f t="shared" si="196"/>
        <v>363.10159905330499</v>
      </c>
      <c r="X598" s="2">
        <f t="shared" si="196"/>
        <v>336.52093640773637</v>
      </c>
      <c r="Y598" s="2">
        <f t="shared" si="196"/>
        <v>304.26227191423402</v>
      </c>
      <c r="Z598" s="2">
        <f t="shared" si="196"/>
        <v>266.80620612113245</v>
      </c>
      <c r="AA598" s="2">
        <f t="shared" si="196"/>
        <v>224.84515685439567</v>
      </c>
      <c r="AB598" s="2">
        <f t="shared" si="196"/>
        <v>178.97706432981269</v>
      </c>
      <c r="AC598" s="2">
        <f t="shared" si="196"/>
        <v>130.03169463138511</v>
      </c>
      <c r="AD598" s="2">
        <f t="shared" si="196"/>
        <v>78.739852052952244</v>
      </c>
      <c r="AE598" s="2">
        <f t="shared" si="196"/>
        <v>26.217376131334131</v>
      </c>
      <c r="AF598" s="2"/>
    </row>
    <row r="599" spans="1:33">
      <c r="A599" s="20"/>
      <c r="B599" s="5" t="s">
        <v>1106</v>
      </c>
      <c r="C599" s="11"/>
      <c r="D599" t="s">
        <v>775</v>
      </c>
      <c r="E599" s="12"/>
      <c r="F599" s="18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3">
      <c r="A600" s="20" t="s">
        <v>825</v>
      </c>
      <c r="D600" t="s">
        <v>1102</v>
      </c>
      <c r="G600" s="19">
        <f>SUM(H600:AE600)/24</f>
        <v>316.61059493700014</v>
      </c>
      <c r="H600" s="2">
        <f>$S$24</f>
        <v>316.61059493700003</v>
      </c>
      <c r="I600" s="2">
        <f t="shared" ref="I600:AE600" si="197">$S$24</f>
        <v>316.61059493700003</v>
      </c>
      <c r="J600" s="2">
        <f t="shared" si="197"/>
        <v>316.61059493700003</v>
      </c>
      <c r="K600" s="2">
        <f t="shared" si="197"/>
        <v>316.61059493700003</v>
      </c>
      <c r="L600" s="2">
        <f t="shared" si="197"/>
        <v>316.61059493700003</v>
      </c>
      <c r="M600" s="2">
        <f t="shared" si="197"/>
        <v>316.61059493700003</v>
      </c>
      <c r="N600" s="2">
        <f t="shared" si="197"/>
        <v>316.61059493700003</v>
      </c>
      <c r="O600" s="2">
        <f t="shared" si="197"/>
        <v>316.61059493700003</v>
      </c>
      <c r="P600" s="2">
        <f t="shared" si="197"/>
        <v>316.61059493700003</v>
      </c>
      <c r="Q600" s="2">
        <f t="shared" si="197"/>
        <v>316.61059493700003</v>
      </c>
      <c r="R600" s="2">
        <f t="shared" si="197"/>
        <v>316.61059493700003</v>
      </c>
      <c r="S600" s="2">
        <f t="shared" si="197"/>
        <v>316.61059493700003</v>
      </c>
      <c r="T600" s="2">
        <f t="shared" si="197"/>
        <v>316.61059493700003</v>
      </c>
      <c r="U600" s="2">
        <f t="shared" si="197"/>
        <v>316.61059493700003</v>
      </c>
      <c r="V600" s="2">
        <f t="shared" si="197"/>
        <v>316.61059493700003</v>
      </c>
      <c r="W600" s="2">
        <f t="shared" si="197"/>
        <v>316.61059493700003</v>
      </c>
      <c r="X600" s="2">
        <f t="shared" si="197"/>
        <v>316.61059493700003</v>
      </c>
      <c r="Y600" s="2">
        <f t="shared" si="197"/>
        <v>316.61059493700003</v>
      </c>
      <c r="Z600" s="2">
        <f t="shared" si="197"/>
        <v>316.61059493700003</v>
      </c>
      <c r="AA600" s="2">
        <f t="shared" si="197"/>
        <v>316.61059493700003</v>
      </c>
      <c r="AB600" s="2">
        <f t="shared" si="197"/>
        <v>316.61059493700003</v>
      </c>
      <c r="AC600" s="2">
        <f t="shared" si="197"/>
        <v>316.61059493700003</v>
      </c>
      <c r="AD600" s="2">
        <f t="shared" si="197"/>
        <v>316.61059493700003</v>
      </c>
      <c r="AE600" s="2">
        <f t="shared" si="197"/>
        <v>316.61059493700003</v>
      </c>
      <c r="AF600" s="2"/>
    </row>
    <row r="601" spans="1:33">
      <c r="A601" s="20"/>
      <c r="B601" s="16" t="s">
        <v>720</v>
      </c>
      <c r="G601" s="32">
        <f>G598+G600</f>
        <v>445.51352762439501</v>
      </c>
      <c r="H601" s="3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3">
      <c r="A602" s="39" t="s">
        <v>510</v>
      </c>
      <c r="B602" s="16"/>
      <c r="F602" s="12"/>
      <c r="G602" s="32"/>
      <c r="H602" s="3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3">
      <c r="A603" s="3" t="s">
        <v>723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3" s="27" customFormat="1">
      <c r="A604" s="27" t="s">
        <v>1031</v>
      </c>
      <c r="G604" s="55"/>
      <c r="H604" s="101">
        <f ca="1">Tabelle3!D$31</f>
        <v>0.32403021896405027</v>
      </c>
      <c r="I604" s="101">
        <f ca="1">Tabelle3!E$31</f>
        <v>0.11667522129409401</v>
      </c>
      <c r="J604" s="101">
        <f ca="1">Tabelle3!F$31</f>
        <v>7.260235149585717E-2</v>
      </c>
      <c r="K604" s="101">
        <f ca="1">Tabelle3!G$31</f>
        <v>5.2901499885948756E-2</v>
      </c>
      <c r="L604" s="101">
        <f ca="1">Tabelle3!H$31</f>
        <v>4.2650688323917399E-2</v>
      </c>
      <c r="M604" s="101">
        <f ca="1">Tabelle3!I$31</f>
        <v>3.6265918169196852E-2</v>
      </c>
      <c r="N604" s="101">
        <f ca="1">Tabelle3!J$31</f>
        <v>3.1953363313999554E-2</v>
      </c>
      <c r="O604" s="101">
        <f ca="1">Tabelle3!K$31</f>
        <v>2.8191347376487014E-2</v>
      </c>
      <c r="P604" s="101">
        <f ca="1">Tabelle3!L$31</f>
        <v>2.6278014359483806E-2</v>
      </c>
      <c r="Q604" s="101">
        <f ca="1">Tabelle3!M$31</f>
        <v>2.4881840109987237E-2</v>
      </c>
      <c r="R604" s="101">
        <f ca="1">Tabelle3!N$31</f>
        <v>2.3922636427126998E-2</v>
      </c>
      <c r="S604" s="101">
        <f ca="1">Tabelle3!O$31</f>
        <v>2.3549958316988282E-2</v>
      </c>
      <c r="T604" s="101">
        <f ca="1">Tabelle3!P$31</f>
        <v>2.3549958316988282E-2</v>
      </c>
      <c r="U604" s="101">
        <f ca="1">Tabelle3!Q$31</f>
        <v>2.3922636427126998E-2</v>
      </c>
      <c r="V604" s="101">
        <f ca="1">Tabelle3!R$31</f>
        <v>2.4881840109987237E-2</v>
      </c>
      <c r="W604" s="101">
        <f ca="1">Tabelle3!S$31</f>
        <v>2.6278014359483806E-2</v>
      </c>
      <c r="X604" s="101">
        <f ca="1">Tabelle3!T$31</f>
        <v>2.8191347376487014E-2</v>
      </c>
      <c r="Y604" s="101">
        <f ca="1">Tabelle3!U$31</f>
        <v>3.1953363313999554E-2</v>
      </c>
      <c r="Z604" s="101">
        <f ca="1">Tabelle3!V$31</f>
        <v>3.6265918169196852E-2</v>
      </c>
      <c r="AA604" s="101">
        <f ca="1">Tabelle3!W$31</f>
        <v>4.2650688323917399E-2</v>
      </c>
      <c r="AB604" s="101">
        <f ca="1">Tabelle3!X$31</f>
        <v>5.2901499885948756E-2</v>
      </c>
      <c r="AC604" s="101">
        <f ca="1">Tabelle3!Y$31</f>
        <v>7.260235149585717E-2</v>
      </c>
      <c r="AD604" s="101">
        <f ca="1">Tabelle3!Z$31</f>
        <v>0.11667522129409401</v>
      </c>
      <c r="AE604" s="101">
        <f ca="1">Tabelle3!AA$31</f>
        <v>0.32403021896405027</v>
      </c>
      <c r="AF604" s="55"/>
    </row>
    <row r="605" spans="1:33" s="27" customFormat="1">
      <c r="A605" s="27" t="s">
        <v>830</v>
      </c>
      <c r="F605" s="10">
        <f ca="1">Tabelle3!J$80</f>
        <v>2.1260406910099214</v>
      </c>
      <c r="H605" s="107">
        <f ca="1">$F$10*$F$142</f>
        <v>2.1260406910099214E-2</v>
      </c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55"/>
    </row>
    <row r="606" spans="1:33" ht="15" customHeight="1">
      <c r="A606" s="3" t="s">
        <v>831</v>
      </c>
      <c r="B606" s="11"/>
      <c r="C606" s="11"/>
      <c r="D606" s="11"/>
      <c r="E606" s="27"/>
      <c r="F606" s="6"/>
      <c r="G606" s="19">
        <f>SUM(H606:AE606)/48</f>
        <v>3.3676491643748521</v>
      </c>
      <c r="H606" s="24">
        <f>H$67*H$604*$F$16</f>
        <v>6.0680158060707603</v>
      </c>
      <c r="I606" s="24">
        <f t="shared" ref="I606:AE606" si="198">I$67*I$604*$F$16</f>
        <v>6.5621354735303035</v>
      </c>
      <c r="J606" s="24">
        <f t="shared" si="198"/>
        <v>6.7432905708784183</v>
      </c>
      <c r="K606" s="24">
        <f t="shared" si="198"/>
        <v>6.762967963022164</v>
      </c>
      <c r="L606" s="24">
        <f t="shared" si="198"/>
        <v>6.8498576472422501</v>
      </c>
      <c r="M606" s="24">
        <f t="shared" si="198"/>
        <v>6.9114085987306124</v>
      </c>
      <c r="N606" s="24">
        <f t="shared" si="198"/>
        <v>6.9444306551560304</v>
      </c>
      <c r="O606" s="24">
        <f t="shared" si="198"/>
        <v>6.7764132983794241</v>
      </c>
      <c r="P606" s="24">
        <f t="shared" si="198"/>
        <v>6.8154207384816283</v>
      </c>
      <c r="Q606" s="24">
        <f t="shared" si="198"/>
        <v>6.8113508680556007</v>
      </c>
      <c r="R606" s="24">
        <f t="shared" si="198"/>
        <v>6.7832965549082269</v>
      </c>
      <c r="S606" s="24">
        <f t="shared" si="198"/>
        <v>6.7949917705410288</v>
      </c>
      <c r="T606" s="24">
        <f t="shared" si="198"/>
        <v>6.7949917705410288</v>
      </c>
      <c r="U606" s="24">
        <f t="shared" si="198"/>
        <v>6.7832965549082269</v>
      </c>
      <c r="V606" s="24">
        <f t="shared" si="198"/>
        <v>6.8113508680556007</v>
      </c>
      <c r="W606" s="24">
        <f t="shared" si="198"/>
        <v>6.8154207384816283</v>
      </c>
      <c r="X606" s="24">
        <f t="shared" si="198"/>
        <v>6.7764132983794241</v>
      </c>
      <c r="Y606" s="24">
        <f t="shared" si="198"/>
        <v>6.9444306551560304</v>
      </c>
      <c r="Z606" s="24">
        <f t="shared" si="198"/>
        <v>6.9114085987306124</v>
      </c>
      <c r="AA606" s="24">
        <f t="shared" si="198"/>
        <v>6.8498576472422501</v>
      </c>
      <c r="AB606" s="24">
        <f t="shared" si="198"/>
        <v>6.762967963022164</v>
      </c>
      <c r="AC606" s="24">
        <f t="shared" si="198"/>
        <v>6.7432905708784183</v>
      </c>
      <c r="AD606" s="24">
        <f t="shared" si="198"/>
        <v>6.5621354735303035</v>
      </c>
      <c r="AE606" s="24">
        <f t="shared" si="198"/>
        <v>6.0680158060707603</v>
      </c>
      <c r="AF606" s="28"/>
      <c r="AG606" s="11"/>
    </row>
    <row r="607" spans="1:33">
      <c r="A607" s="3"/>
      <c r="B607" s="5" t="s">
        <v>1109</v>
      </c>
      <c r="C607" s="11"/>
      <c r="D607" t="s">
        <v>61</v>
      </c>
      <c r="F607" s="27"/>
      <c r="G607" t="s">
        <v>854</v>
      </c>
      <c r="I607" s="2"/>
      <c r="K607" s="2"/>
      <c r="M607" s="2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11"/>
    </row>
    <row r="608" spans="1:33">
      <c r="A608" s="3"/>
      <c r="C608" s="11"/>
      <c r="D608" s="2" t="s">
        <v>1110</v>
      </c>
      <c r="F608" s="27"/>
      <c r="G608" s="2"/>
      <c r="I608" s="2"/>
      <c r="K608" s="2"/>
      <c r="M608" s="2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11"/>
    </row>
    <row r="609" spans="1:33">
      <c r="A609" t="s">
        <v>879</v>
      </c>
      <c r="C609" s="11"/>
      <c r="G609" s="98">
        <f>SUM(H609:AE609)/48</f>
        <v>180.71204454861606</v>
      </c>
      <c r="H609" s="97">
        <f>H$67*(1-($F$16+$F$13)*H$604)</f>
        <v>31.264018351142305</v>
      </c>
      <c r="I609" s="97">
        <f>I$67*(1-($F$16+$F$13)*I$604)</f>
        <v>105.792124749788</v>
      </c>
      <c r="J609" s="97">
        <f t="shared" ref="J609:AE609" si="199">J$67*(1-($F$16+$F$13)*J$604)</f>
        <v>178.88140737682562</v>
      </c>
      <c r="K609" s="97">
        <f t="shared" si="199"/>
        <v>248.78329314887841</v>
      </c>
      <c r="L609" s="97">
        <f t="shared" si="199"/>
        <v>314.22051213466392</v>
      </c>
      <c r="M609" s="97">
        <f t="shared" si="199"/>
        <v>374.10208625948394</v>
      </c>
      <c r="N609" s="97">
        <f t="shared" si="199"/>
        <v>427.57706918064656</v>
      </c>
      <c r="O609" s="97">
        <f t="shared" si="199"/>
        <v>473.83225330384784</v>
      </c>
      <c r="P609" s="97">
        <f t="shared" si="199"/>
        <v>511.76484092289871</v>
      </c>
      <c r="Q609" s="97">
        <f t="shared" si="199"/>
        <v>540.54817306763414</v>
      </c>
      <c r="R609" s="97">
        <f t="shared" si="199"/>
        <v>560.18379607252177</v>
      </c>
      <c r="S609" s="97">
        <f t="shared" si="199"/>
        <v>570.13949459845276</v>
      </c>
      <c r="T609" s="97">
        <f t="shared" si="199"/>
        <v>570.13949459845276</v>
      </c>
      <c r="U609" s="97">
        <f t="shared" si="199"/>
        <v>560.18379607252177</v>
      </c>
      <c r="V609" s="97">
        <f t="shared" si="199"/>
        <v>540.54817306763414</v>
      </c>
      <c r="W609" s="97">
        <f t="shared" si="199"/>
        <v>511.76484092289871</v>
      </c>
      <c r="X609" s="97">
        <f t="shared" si="199"/>
        <v>473.83225330384784</v>
      </c>
      <c r="Y609" s="97">
        <f t="shared" si="199"/>
        <v>427.57706918064656</v>
      </c>
      <c r="Z609" s="97">
        <f t="shared" si="199"/>
        <v>374.10208625948394</v>
      </c>
      <c r="AA609" s="97">
        <f t="shared" si="199"/>
        <v>314.22051213466392</v>
      </c>
      <c r="AB609" s="97">
        <f t="shared" si="199"/>
        <v>248.78329314887841</v>
      </c>
      <c r="AC609" s="97">
        <f t="shared" si="199"/>
        <v>178.88140737682562</v>
      </c>
      <c r="AD609" s="97">
        <f t="shared" si="199"/>
        <v>105.792124749788</v>
      </c>
      <c r="AE609" s="97">
        <f t="shared" si="199"/>
        <v>31.264018351142305</v>
      </c>
      <c r="AF609" s="28"/>
      <c r="AG609" s="11"/>
    </row>
    <row r="610" spans="1:33">
      <c r="B610" s="24" t="s">
        <v>1111</v>
      </c>
      <c r="D610" s="2" t="s">
        <v>59</v>
      </c>
      <c r="E610" s="24" t="s">
        <v>900</v>
      </c>
      <c r="H610" t="s">
        <v>853</v>
      </c>
      <c r="AF610" s="28"/>
      <c r="AG610" s="11"/>
    </row>
    <row r="611" spans="1:33">
      <c r="A611" t="s">
        <v>832</v>
      </c>
      <c r="C611" s="11"/>
      <c r="D611" s="24"/>
      <c r="G611" s="97">
        <f>SUM(H611:AE611)/48</f>
        <v>126.49843118403122</v>
      </c>
      <c r="H611" s="97">
        <f>H609*$S$20</f>
        <v>21.884812845799612</v>
      </c>
      <c r="I611" s="97">
        <f>I609*$S$20</f>
        <v>74.054487324851593</v>
      </c>
      <c r="J611" s="97">
        <f t="shared" ref="J611:AE611" si="200">J609*$S$20</f>
        <v>125.21698516377792</v>
      </c>
      <c r="K611" s="97">
        <f t="shared" si="200"/>
        <v>174.14830520421489</v>
      </c>
      <c r="L611" s="97">
        <f t="shared" si="200"/>
        <v>219.95435849426474</v>
      </c>
      <c r="M611" s="97">
        <f t="shared" si="200"/>
        <v>261.87146038163877</v>
      </c>
      <c r="N611" s="97">
        <f t="shared" si="200"/>
        <v>299.30394842645256</v>
      </c>
      <c r="O611" s="97">
        <f t="shared" si="200"/>
        <v>331.68257731269347</v>
      </c>
      <c r="P611" s="97">
        <f t="shared" si="200"/>
        <v>358.23538864602909</v>
      </c>
      <c r="Q611" s="97">
        <f t="shared" si="200"/>
        <v>378.38372114734386</v>
      </c>
      <c r="R611" s="97">
        <f t="shared" si="200"/>
        <v>392.12865725076523</v>
      </c>
      <c r="S611" s="97">
        <f t="shared" si="200"/>
        <v>399.09764621891691</v>
      </c>
      <c r="T611" s="97">
        <f t="shared" si="200"/>
        <v>399.09764621891691</v>
      </c>
      <c r="U611" s="97">
        <f t="shared" si="200"/>
        <v>392.12865725076523</v>
      </c>
      <c r="V611" s="97">
        <f t="shared" si="200"/>
        <v>378.38372114734386</v>
      </c>
      <c r="W611" s="97">
        <f t="shared" si="200"/>
        <v>358.23538864602909</v>
      </c>
      <c r="X611" s="97">
        <f t="shared" si="200"/>
        <v>331.68257731269347</v>
      </c>
      <c r="Y611" s="97">
        <f t="shared" si="200"/>
        <v>299.30394842645256</v>
      </c>
      <c r="Z611" s="97">
        <f t="shared" si="200"/>
        <v>261.87146038163877</v>
      </c>
      <c r="AA611" s="97">
        <f t="shared" si="200"/>
        <v>219.95435849426474</v>
      </c>
      <c r="AB611" s="97">
        <f t="shared" si="200"/>
        <v>174.14830520421489</v>
      </c>
      <c r="AC611" s="97">
        <f t="shared" si="200"/>
        <v>125.21698516377792</v>
      </c>
      <c r="AD611" s="97">
        <f t="shared" si="200"/>
        <v>74.054487324851593</v>
      </c>
      <c r="AE611" s="97">
        <f t="shared" si="200"/>
        <v>21.884812845799612</v>
      </c>
      <c r="AF611" s="28"/>
      <c r="AG611" s="11"/>
    </row>
    <row r="612" spans="1:33">
      <c r="B612" s="24" t="s">
        <v>912</v>
      </c>
      <c r="C612" s="14" t="s">
        <v>1114</v>
      </c>
      <c r="D612" s="24" t="s">
        <v>1115</v>
      </c>
      <c r="AF612" s="28"/>
      <c r="AG612" s="11"/>
    </row>
    <row r="613" spans="1:33">
      <c r="A613" s="20" t="s">
        <v>833</v>
      </c>
      <c r="B613" s="11"/>
      <c r="C613" s="11"/>
      <c r="D613" s="11"/>
      <c r="E613" s="27"/>
      <c r="F613" s="6"/>
      <c r="G613" s="19">
        <f>SUM(H613:AE613)/48</f>
        <v>125.12683304259571</v>
      </c>
      <c r="H613" s="24">
        <f>H611*(1-($F$16+$F$13)*$H$605)</f>
        <v>21.647520032410547</v>
      </c>
      <c r="I613" s="24">
        <f>I611*(1-($F$16+$F$13)*$H$605)</f>
        <v>73.251528772488584</v>
      </c>
      <c r="J613" s="24">
        <f t="shared" ref="J613:AE613" si="201">J611*(1-($F$16+$F$13)*$H$605)</f>
        <v>123.85928149489266</v>
      </c>
      <c r="K613" s="24">
        <f t="shared" si="201"/>
        <v>172.26004865022855</v>
      </c>
      <c r="L613" s="24">
        <f t="shared" si="201"/>
        <v>217.56943572101341</v>
      </c>
      <c r="M613" s="24">
        <f t="shared" si="201"/>
        <v>259.03203854065242</v>
      </c>
      <c r="N613" s="24">
        <f t="shared" si="201"/>
        <v>296.05865332244628</v>
      </c>
      <c r="O613" s="24">
        <f t="shared" si="201"/>
        <v>328.08620696777774</v>
      </c>
      <c r="P613" s="24">
        <f t="shared" si="201"/>
        <v>354.35111127860091</v>
      </c>
      <c r="Q613" s="24">
        <f t="shared" si="201"/>
        <v>374.28097928867135</v>
      </c>
      <c r="R613" s="24">
        <f t="shared" si="201"/>
        <v>387.87688169549159</v>
      </c>
      <c r="S613" s="24">
        <f t="shared" si="201"/>
        <v>394.77030725762364</v>
      </c>
      <c r="T613" s="24">
        <f t="shared" si="201"/>
        <v>394.77030725762364</v>
      </c>
      <c r="U613" s="24">
        <f t="shared" si="201"/>
        <v>387.87688169549159</v>
      </c>
      <c r="V613" s="24">
        <f t="shared" si="201"/>
        <v>374.28097928867135</v>
      </c>
      <c r="W613" s="24">
        <f t="shared" si="201"/>
        <v>354.35111127860091</v>
      </c>
      <c r="X613" s="24">
        <f t="shared" si="201"/>
        <v>328.08620696777774</v>
      </c>
      <c r="Y613" s="24">
        <f t="shared" si="201"/>
        <v>296.05865332244628</v>
      </c>
      <c r="Z613" s="24">
        <f t="shared" si="201"/>
        <v>259.03203854065242</v>
      </c>
      <c r="AA613" s="24">
        <f t="shared" si="201"/>
        <v>217.56943572101341</v>
      </c>
      <c r="AB613" s="24">
        <f t="shared" si="201"/>
        <v>172.26004865022855</v>
      </c>
      <c r="AC613" s="24">
        <f t="shared" si="201"/>
        <v>123.85928149489266</v>
      </c>
      <c r="AD613" s="24">
        <f t="shared" si="201"/>
        <v>73.251528772488584</v>
      </c>
      <c r="AE613" s="24">
        <f t="shared" si="201"/>
        <v>21.647520032410547</v>
      </c>
      <c r="AF613" s="28"/>
      <c r="AG613" s="11"/>
    </row>
    <row r="614" spans="1:33">
      <c r="A614" s="20"/>
      <c r="B614" s="24" t="s">
        <v>72</v>
      </c>
      <c r="C614" s="11"/>
      <c r="D614" t="s">
        <v>0</v>
      </c>
      <c r="G614" s="27"/>
      <c r="H614" s="24" t="s">
        <v>900</v>
      </c>
      <c r="K614" t="s">
        <v>853</v>
      </c>
      <c r="M614" s="28"/>
      <c r="O614" s="28"/>
      <c r="P614" s="28"/>
      <c r="Q614" s="11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11"/>
    </row>
    <row r="615" spans="1:33">
      <c r="A615" t="s">
        <v>834</v>
      </c>
      <c r="B615" s="5"/>
      <c r="C615" s="11"/>
      <c r="D615" s="5" t="s">
        <v>21</v>
      </c>
      <c r="F615" t="s">
        <v>10</v>
      </c>
      <c r="G615" s="97">
        <f>SUM(H615:AE615)/48</f>
        <v>1.3447040602308435</v>
      </c>
      <c r="H615" s="97">
        <f>H611*$H$605*$F$16</f>
        <v>0.23264001312653304</v>
      </c>
      <c r="I615" s="97">
        <f t="shared" ref="I615:AE615" si="202">I611*$H$605*$F$16</f>
        <v>0.7872142670225647</v>
      </c>
      <c r="J615" s="97">
        <f t="shared" si="202"/>
        <v>1.3310820283188873</v>
      </c>
      <c r="K615" s="97">
        <f t="shared" si="202"/>
        <v>1.8512319156728785</v>
      </c>
      <c r="L615" s="97">
        <f t="shared" si="202"/>
        <v>2.3381595816189527</v>
      </c>
      <c r="M615" s="97">
        <f t="shared" si="202"/>
        <v>2.7837469029277826</v>
      </c>
      <c r="N615" s="97">
        <f t="shared" si="202"/>
        <v>3.1816618666728655</v>
      </c>
      <c r="O615" s="97">
        <f t="shared" si="202"/>
        <v>3.5258532793291524</v>
      </c>
      <c r="P615" s="97">
        <f t="shared" si="202"/>
        <v>3.808115066106057</v>
      </c>
      <c r="Q615" s="97">
        <f t="shared" si="202"/>
        <v>4.022295939875022</v>
      </c>
      <c r="R615" s="97">
        <f t="shared" si="202"/>
        <v>4.1684074071310473</v>
      </c>
      <c r="S615" s="97">
        <f t="shared" si="202"/>
        <v>4.2424891777384959</v>
      </c>
      <c r="T615" s="97">
        <f t="shared" si="202"/>
        <v>4.2424891777384959</v>
      </c>
      <c r="U615" s="97">
        <f t="shared" si="202"/>
        <v>4.1684074071310473</v>
      </c>
      <c r="V615" s="97">
        <f t="shared" si="202"/>
        <v>4.022295939875022</v>
      </c>
      <c r="W615" s="97">
        <f t="shared" si="202"/>
        <v>3.808115066106057</v>
      </c>
      <c r="X615" s="97">
        <f t="shared" si="202"/>
        <v>3.5258532793291524</v>
      </c>
      <c r="Y615" s="97">
        <f t="shared" si="202"/>
        <v>3.1816618666728655</v>
      </c>
      <c r="Z615" s="97">
        <f t="shared" si="202"/>
        <v>2.7837469029277826</v>
      </c>
      <c r="AA615" s="97">
        <f t="shared" si="202"/>
        <v>2.3381595816189527</v>
      </c>
      <c r="AB615" s="97">
        <f t="shared" si="202"/>
        <v>1.8512319156728785</v>
      </c>
      <c r="AC615" s="97">
        <f t="shared" si="202"/>
        <v>1.3310820283188873</v>
      </c>
      <c r="AD615" s="97">
        <f t="shared" si="202"/>
        <v>0.7872142670225647</v>
      </c>
      <c r="AE615" s="97">
        <f t="shared" si="202"/>
        <v>0.23264001312653304</v>
      </c>
      <c r="AF615" s="28"/>
      <c r="AG615" s="11"/>
    </row>
    <row r="616" spans="1:33">
      <c r="A616" t="s">
        <v>909</v>
      </c>
      <c r="B616" s="5"/>
      <c r="C616" s="11"/>
      <c r="D616" s="5" t="s">
        <v>11</v>
      </c>
      <c r="G616" s="97">
        <f>SUM(H616:AE616)/48</f>
        <v>0.94129284216158993</v>
      </c>
      <c r="H616" s="97">
        <f>H615*$S$20</f>
        <v>0.16284800918857312</v>
      </c>
      <c r="I616" s="97">
        <f t="shared" ref="I616:AE616" si="203">I615*$S$20</f>
        <v>0.55104998691579521</v>
      </c>
      <c r="J616" s="97">
        <f t="shared" si="203"/>
        <v>0.93175741982322102</v>
      </c>
      <c r="K616" s="97">
        <f t="shared" si="203"/>
        <v>1.2958623409710148</v>
      </c>
      <c r="L616" s="97">
        <f t="shared" si="203"/>
        <v>1.6367117071332669</v>
      </c>
      <c r="M616" s="97">
        <f t="shared" si="203"/>
        <v>1.9486228320494476</v>
      </c>
      <c r="N616" s="97">
        <f t="shared" si="203"/>
        <v>2.2271633066710059</v>
      </c>
      <c r="O616" s="97">
        <f t="shared" si="203"/>
        <v>2.4680972955304066</v>
      </c>
      <c r="P616" s="97">
        <f t="shared" si="203"/>
        <v>2.6656805462742397</v>
      </c>
      <c r="Q616" s="97">
        <f t="shared" si="203"/>
        <v>2.815607157912515</v>
      </c>
      <c r="R616" s="97">
        <f t="shared" si="203"/>
        <v>2.9178851849917331</v>
      </c>
      <c r="S616" s="97">
        <f t="shared" si="203"/>
        <v>2.969742424416947</v>
      </c>
      <c r="T616" s="97">
        <f t="shared" si="203"/>
        <v>2.969742424416947</v>
      </c>
      <c r="U616" s="97">
        <f t="shared" si="203"/>
        <v>2.9178851849917331</v>
      </c>
      <c r="V616" s="97">
        <f t="shared" si="203"/>
        <v>2.815607157912515</v>
      </c>
      <c r="W616" s="97">
        <f t="shared" si="203"/>
        <v>2.6656805462742397</v>
      </c>
      <c r="X616" s="97">
        <f t="shared" si="203"/>
        <v>2.4680972955304066</v>
      </c>
      <c r="Y616" s="97">
        <f t="shared" si="203"/>
        <v>2.2271633066710059</v>
      </c>
      <c r="Z616" s="97">
        <f t="shared" si="203"/>
        <v>1.9486228320494476</v>
      </c>
      <c r="AA616" s="97">
        <f t="shared" si="203"/>
        <v>1.6367117071332669</v>
      </c>
      <c r="AB616" s="97">
        <f t="shared" si="203"/>
        <v>1.2958623409710148</v>
      </c>
      <c r="AC616" s="97">
        <f t="shared" si="203"/>
        <v>0.93175741982322102</v>
      </c>
      <c r="AD616" s="97">
        <f t="shared" si="203"/>
        <v>0.55104998691579521</v>
      </c>
      <c r="AE616" s="97">
        <f t="shared" si="203"/>
        <v>0.16284800918857312</v>
      </c>
      <c r="AF616" s="28"/>
      <c r="AG616" s="11"/>
    </row>
    <row r="617" spans="1:33">
      <c r="A617" s="20" t="s">
        <v>835</v>
      </c>
      <c r="B617" s="5"/>
      <c r="C617" s="11"/>
      <c r="G617" s="19">
        <f>SUM(H617:AE617)/48</f>
        <v>0.93108658505017139</v>
      </c>
      <c r="H617" s="24">
        <f>H616*(1-($F$16+$F$13)*$H$605)</f>
        <v>0.16108227956925031</v>
      </c>
      <c r="I617" s="24">
        <f t="shared" ref="I617:AE617" si="204">I616*(1-($F$16+$F$13)*$H$605)</f>
        <v>0.54507505797148159</v>
      </c>
      <c r="J617" s="24">
        <f t="shared" si="204"/>
        <v>0.92165455346087866</v>
      </c>
      <c r="K617" s="24">
        <f t="shared" si="204"/>
        <v>1.281811555030071</v>
      </c>
      <c r="L617" s="24">
        <f t="shared" si="204"/>
        <v>1.618965157120297</v>
      </c>
      <c r="M617" s="24">
        <f t="shared" si="204"/>
        <v>1.9274942897443703</v>
      </c>
      <c r="N617" s="24">
        <f t="shared" si="204"/>
        <v>2.2030146036119214</v>
      </c>
      <c r="O617" s="24">
        <f t="shared" si="204"/>
        <v>2.4413361916040937</v>
      </c>
      <c r="P617" s="24">
        <f t="shared" si="204"/>
        <v>2.6367770851901153</v>
      </c>
      <c r="Q617" s="24">
        <f t="shared" si="204"/>
        <v>2.7850780714356489</v>
      </c>
      <c r="R617" s="24">
        <f t="shared" si="204"/>
        <v>2.8862471175532973</v>
      </c>
      <c r="S617" s="24">
        <f t="shared" si="204"/>
        <v>2.9375420789126898</v>
      </c>
      <c r="T617" s="24">
        <f t="shared" si="204"/>
        <v>2.9375420789126898</v>
      </c>
      <c r="U617" s="24">
        <f t="shared" si="204"/>
        <v>2.8862471175532973</v>
      </c>
      <c r="V617" s="24">
        <f t="shared" si="204"/>
        <v>2.7850780714356489</v>
      </c>
      <c r="W617" s="24">
        <f t="shared" si="204"/>
        <v>2.6367770851901153</v>
      </c>
      <c r="X617" s="24">
        <f t="shared" si="204"/>
        <v>2.4413361916040937</v>
      </c>
      <c r="Y617" s="24">
        <f t="shared" si="204"/>
        <v>2.2030146036119214</v>
      </c>
      <c r="Z617" s="24">
        <f t="shared" si="204"/>
        <v>1.9274942897443703</v>
      </c>
      <c r="AA617" s="24">
        <f t="shared" si="204"/>
        <v>1.618965157120297</v>
      </c>
      <c r="AB617" s="24">
        <f t="shared" si="204"/>
        <v>1.281811555030071</v>
      </c>
      <c r="AC617" s="24">
        <f t="shared" si="204"/>
        <v>0.92165455346087866</v>
      </c>
      <c r="AD617" s="24">
        <f t="shared" si="204"/>
        <v>0.54507505797148159</v>
      </c>
      <c r="AE617" s="24">
        <f t="shared" si="204"/>
        <v>0.16108227956925031</v>
      </c>
      <c r="AF617" s="28"/>
      <c r="AG617" s="11"/>
    </row>
    <row r="618" spans="1:33">
      <c r="A618" s="20"/>
      <c r="B618" s="24" t="s">
        <v>13</v>
      </c>
      <c r="C618" s="11"/>
      <c r="D618" t="s">
        <v>0</v>
      </c>
      <c r="G618" s="27"/>
      <c r="H618" s="24" t="s">
        <v>900</v>
      </c>
      <c r="K618" t="s">
        <v>853</v>
      </c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8"/>
      <c r="AG618" s="11"/>
    </row>
    <row r="619" spans="1:33">
      <c r="A619" s="100" t="s">
        <v>836</v>
      </c>
      <c r="B619" s="5"/>
      <c r="C619" s="11"/>
      <c r="G619" s="19">
        <f>SUM(H619:AE619)/48</f>
        <v>6.9283478833454719E-3</v>
      </c>
      <c r="H619" s="2">
        <f>H617^2/H613</f>
        <v>1.1986361833770177E-3</v>
      </c>
      <c r="I619" s="2">
        <f t="shared" ref="I619:AE619" si="205">I617^2/I613</f>
        <v>4.055981135156865E-3</v>
      </c>
      <c r="J619" s="2">
        <f t="shared" si="205"/>
        <v>6.8581627929934228E-3</v>
      </c>
      <c r="K619" s="2">
        <f t="shared" si="205"/>
        <v>9.5381423347022185E-3</v>
      </c>
      <c r="L619" s="2">
        <f t="shared" si="205"/>
        <v>1.2046950304777577E-2</v>
      </c>
      <c r="M619" s="2">
        <f t="shared" si="205"/>
        <v>1.4342759520900293E-2</v>
      </c>
      <c r="N619" s="2">
        <f t="shared" si="205"/>
        <v>1.6392945415588129E-2</v>
      </c>
      <c r="O619" s="2">
        <f t="shared" si="205"/>
        <v>1.8166330293249235E-2</v>
      </c>
      <c r="P619" s="2">
        <f t="shared" si="205"/>
        <v>1.9620633816828513E-2</v>
      </c>
      <c r="Q619" s="2">
        <f t="shared" si="205"/>
        <v>2.072416257629069E-2</v>
      </c>
      <c r="R619" s="2">
        <f t="shared" si="205"/>
        <v>2.1476975856799422E-2</v>
      </c>
      <c r="S619" s="2">
        <f t="shared" si="205"/>
        <v>2.1858668969627893E-2</v>
      </c>
      <c r="T619" s="2">
        <f t="shared" si="205"/>
        <v>2.1858668969627893E-2</v>
      </c>
      <c r="U619" s="2">
        <f t="shared" si="205"/>
        <v>2.1476975856799422E-2</v>
      </c>
      <c r="V619" s="2">
        <f t="shared" si="205"/>
        <v>2.072416257629069E-2</v>
      </c>
      <c r="W619" s="2">
        <f t="shared" si="205"/>
        <v>1.9620633816828513E-2</v>
      </c>
      <c r="X619" s="2">
        <f t="shared" si="205"/>
        <v>1.8166330293249235E-2</v>
      </c>
      <c r="Y619" s="2">
        <f t="shared" si="205"/>
        <v>1.6392945415588129E-2</v>
      </c>
      <c r="Z619" s="2">
        <f t="shared" si="205"/>
        <v>1.4342759520900293E-2</v>
      </c>
      <c r="AA619" s="2">
        <f t="shared" si="205"/>
        <v>1.2046950304777577E-2</v>
      </c>
      <c r="AB619" s="2">
        <f t="shared" si="205"/>
        <v>9.5381423347022185E-3</v>
      </c>
      <c r="AC619" s="2">
        <f t="shared" si="205"/>
        <v>6.8581627929934228E-3</v>
      </c>
      <c r="AD619" s="2">
        <f t="shared" si="205"/>
        <v>4.055981135156865E-3</v>
      </c>
      <c r="AE619" s="2">
        <f t="shared" si="205"/>
        <v>1.1986361833770177E-3</v>
      </c>
      <c r="AF619" s="28"/>
      <c r="AG619" s="11"/>
    </row>
    <row r="620" spans="1:33">
      <c r="A620" s="100"/>
      <c r="B620" s="24" t="s">
        <v>14</v>
      </c>
      <c r="C620" s="11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8"/>
      <c r="AG620" s="11"/>
    </row>
    <row r="621" spans="1:33">
      <c r="A621" s="20" t="s">
        <v>837</v>
      </c>
      <c r="B621" s="11"/>
      <c r="C621" s="11"/>
      <c r="D621" s="11"/>
      <c r="E621" s="27"/>
      <c r="F621" s="6"/>
      <c r="G621" s="19">
        <f>SUM(H621:AE621)/24</f>
        <v>310.0139502581988</v>
      </c>
      <c r="H621" s="24">
        <f>$S$24*(1-$H$605*(1-$F$14))</f>
        <v>310.01395025819897</v>
      </c>
      <c r="I621" s="24">
        <f t="shared" ref="I621:AE621" si="206">$S$24*(1-$H$605*(1-$F$14))</f>
        <v>310.01395025819897</v>
      </c>
      <c r="J621" s="24">
        <f t="shared" si="206"/>
        <v>310.01395025819897</v>
      </c>
      <c r="K621" s="24">
        <f t="shared" si="206"/>
        <v>310.01395025819897</v>
      </c>
      <c r="L621" s="24">
        <f t="shared" si="206"/>
        <v>310.01395025819897</v>
      </c>
      <c r="M621" s="24">
        <f t="shared" si="206"/>
        <v>310.01395025819897</v>
      </c>
      <c r="N621" s="24">
        <f t="shared" si="206"/>
        <v>310.01395025819897</v>
      </c>
      <c r="O621" s="24">
        <f t="shared" si="206"/>
        <v>310.01395025819897</v>
      </c>
      <c r="P621" s="24">
        <f t="shared" si="206"/>
        <v>310.01395025819897</v>
      </c>
      <c r="Q621" s="24">
        <f t="shared" si="206"/>
        <v>310.01395025819897</v>
      </c>
      <c r="R621" s="24">
        <f t="shared" si="206"/>
        <v>310.01395025819897</v>
      </c>
      <c r="S621" s="24">
        <f t="shared" si="206"/>
        <v>310.01395025819897</v>
      </c>
      <c r="T621" s="24">
        <f t="shared" si="206"/>
        <v>310.01395025819897</v>
      </c>
      <c r="U621" s="24">
        <f t="shared" si="206"/>
        <v>310.01395025819897</v>
      </c>
      <c r="V621" s="24">
        <f t="shared" si="206"/>
        <v>310.01395025819897</v>
      </c>
      <c r="W621" s="24">
        <f t="shared" si="206"/>
        <v>310.01395025819897</v>
      </c>
      <c r="X621" s="24">
        <f t="shared" si="206"/>
        <v>310.01395025819897</v>
      </c>
      <c r="Y621" s="24">
        <f t="shared" si="206"/>
        <v>310.01395025819897</v>
      </c>
      <c r="Z621" s="24">
        <f t="shared" si="206"/>
        <v>310.01395025819897</v>
      </c>
      <c r="AA621" s="24">
        <f t="shared" si="206"/>
        <v>310.01395025819897</v>
      </c>
      <c r="AB621" s="24">
        <f t="shared" si="206"/>
        <v>310.01395025819897</v>
      </c>
      <c r="AC621" s="24">
        <f t="shared" si="206"/>
        <v>310.01395025819897</v>
      </c>
      <c r="AD621" s="24">
        <f t="shared" si="206"/>
        <v>310.01395025819897</v>
      </c>
      <c r="AE621" s="24">
        <f t="shared" si="206"/>
        <v>310.01395025819897</v>
      </c>
      <c r="AF621" s="28"/>
      <c r="AG621" s="11"/>
    </row>
    <row r="622" spans="1:33">
      <c r="A622" s="20"/>
      <c r="B622" s="5" t="s">
        <v>15</v>
      </c>
      <c r="C622" s="11"/>
      <c r="D622" t="s">
        <v>254</v>
      </c>
      <c r="E622" s="2"/>
      <c r="G622" t="s">
        <v>1</v>
      </c>
      <c r="I622" s="11"/>
      <c r="J622" s="28"/>
      <c r="K622" s="2" t="s">
        <v>844</v>
      </c>
      <c r="L622" s="12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11"/>
    </row>
    <row r="623" spans="1:33">
      <c r="A623" s="12" t="s">
        <v>573</v>
      </c>
      <c r="B623" t="s">
        <v>839</v>
      </c>
      <c r="E623" s="12"/>
      <c r="F623" s="6"/>
      <c r="G623" s="32"/>
      <c r="H623" s="3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3">
      <c r="A624" s="11"/>
      <c r="B624" s="14" t="s">
        <v>870</v>
      </c>
      <c r="E624" s="12"/>
      <c r="F624" s="6"/>
      <c r="G624" s="32"/>
      <c r="H624" s="3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3">
      <c r="A625" s="11"/>
      <c r="B625" s="14" t="s">
        <v>845</v>
      </c>
      <c r="E625" s="12"/>
      <c r="F625" s="6"/>
      <c r="G625" s="32"/>
      <c r="H625" s="3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3">
      <c r="A626" s="11"/>
      <c r="B626" s="14" t="s">
        <v>842</v>
      </c>
      <c r="E626" s="12"/>
      <c r="F626" s="6"/>
      <c r="G626" s="32"/>
      <c r="H626" s="3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3">
      <c r="A627" s="20" t="s">
        <v>914</v>
      </c>
      <c r="B627" s="11"/>
      <c r="C627" s="11"/>
      <c r="D627" s="11"/>
      <c r="E627" s="27"/>
      <c r="F627" s="6"/>
      <c r="G627" s="19">
        <f>SUM(H627:AE627)/24</f>
        <v>2.5618512323568008</v>
      </c>
      <c r="H627" s="24">
        <f t="shared" ref="H627:AE627" si="207">$M$9*($F$9+273)^4*$F$10*$F$18</f>
        <v>2.5618512323567995</v>
      </c>
      <c r="I627" s="24">
        <f t="shared" si="207"/>
        <v>2.5618512323567995</v>
      </c>
      <c r="J627" s="24">
        <f t="shared" si="207"/>
        <v>2.5618512323567995</v>
      </c>
      <c r="K627" s="24">
        <f t="shared" si="207"/>
        <v>2.5618512323567995</v>
      </c>
      <c r="L627" s="24">
        <f t="shared" si="207"/>
        <v>2.5618512323567995</v>
      </c>
      <c r="M627" s="24">
        <f t="shared" si="207"/>
        <v>2.5618512323567995</v>
      </c>
      <c r="N627" s="24">
        <f t="shared" si="207"/>
        <v>2.5618512323567995</v>
      </c>
      <c r="O627" s="24">
        <f t="shared" si="207"/>
        <v>2.5618512323567995</v>
      </c>
      <c r="P627" s="24">
        <f t="shared" si="207"/>
        <v>2.5618512323567995</v>
      </c>
      <c r="Q627" s="24">
        <f t="shared" si="207"/>
        <v>2.5618512323567995</v>
      </c>
      <c r="R627" s="24">
        <f t="shared" si="207"/>
        <v>2.5618512323567995</v>
      </c>
      <c r="S627" s="24">
        <f t="shared" si="207"/>
        <v>2.5618512323567995</v>
      </c>
      <c r="T627" s="24">
        <f t="shared" si="207"/>
        <v>2.5618512323567995</v>
      </c>
      <c r="U627" s="24">
        <f t="shared" si="207"/>
        <v>2.5618512323567995</v>
      </c>
      <c r="V627" s="24">
        <f t="shared" si="207"/>
        <v>2.5618512323567995</v>
      </c>
      <c r="W627" s="24">
        <f t="shared" si="207"/>
        <v>2.5618512323567995</v>
      </c>
      <c r="X627" s="24">
        <f t="shared" si="207"/>
        <v>2.5618512323567995</v>
      </c>
      <c r="Y627" s="24">
        <f t="shared" si="207"/>
        <v>2.5618512323567995</v>
      </c>
      <c r="Z627" s="24">
        <f t="shared" si="207"/>
        <v>2.5618512323567995</v>
      </c>
      <c r="AA627" s="24">
        <f t="shared" si="207"/>
        <v>2.5618512323567995</v>
      </c>
      <c r="AB627" s="24">
        <f t="shared" si="207"/>
        <v>2.5618512323567995</v>
      </c>
      <c r="AC627" s="24">
        <f t="shared" si="207"/>
        <v>2.5618512323567995</v>
      </c>
      <c r="AD627" s="24">
        <f t="shared" si="207"/>
        <v>2.5618512323567995</v>
      </c>
      <c r="AE627" s="24">
        <f t="shared" si="207"/>
        <v>2.5618512323567995</v>
      </c>
      <c r="AF627" s="28"/>
      <c r="AG627" s="11"/>
    </row>
    <row r="628" spans="1:33">
      <c r="A628" s="20"/>
      <c r="B628" s="5" t="s">
        <v>923</v>
      </c>
      <c r="C628" s="11"/>
      <c r="D628" t="s">
        <v>743</v>
      </c>
      <c r="E628" s="27"/>
      <c r="F628" s="6"/>
      <c r="G628" s="28"/>
      <c r="H628" t="s">
        <v>717</v>
      </c>
      <c r="I628" s="29"/>
      <c r="J628" s="11"/>
      <c r="K628" s="2" t="s">
        <v>719</v>
      </c>
      <c r="L628" s="11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11"/>
    </row>
    <row r="629" spans="1:33">
      <c r="A629" s="20"/>
      <c r="B629" s="27" t="s">
        <v>925</v>
      </c>
      <c r="C629" s="11" t="s">
        <v>924</v>
      </c>
      <c r="E629" s="27"/>
      <c r="F629" s="6"/>
      <c r="G629" s="28"/>
      <c r="I629" s="29"/>
      <c r="J629" s="11"/>
      <c r="K629" s="2"/>
      <c r="L629" s="11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11"/>
    </row>
    <row r="630" spans="1:33">
      <c r="A630" s="20"/>
      <c r="B630" s="14"/>
      <c r="C630" t="s">
        <v>926</v>
      </c>
      <c r="E630" s="27"/>
      <c r="F630" s="6"/>
      <c r="G630" s="28"/>
      <c r="I630" s="29"/>
      <c r="J630" s="11"/>
      <c r="K630" s="2"/>
      <c r="L630" s="11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11"/>
    </row>
    <row r="631" spans="1:33">
      <c r="A631" s="20"/>
      <c r="B631" s="16" t="s">
        <v>740</v>
      </c>
      <c r="C631" s="11"/>
      <c r="D631" s="11"/>
      <c r="E631" s="27"/>
      <c r="F631" s="6"/>
      <c r="G631" s="32">
        <f>G606+G613+G617+G619+G621+G627</f>
        <v>442.00829863045965</v>
      </c>
      <c r="H631" s="33"/>
      <c r="I631" s="29"/>
      <c r="J631" s="28"/>
      <c r="K631" s="11"/>
      <c r="L631" s="11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11"/>
    </row>
    <row r="632" spans="1:33">
      <c r="A632" s="20"/>
      <c r="B632" s="16" t="s">
        <v>721</v>
      </c>
      <c r="G632" s="32">
        <f>G601-G631</f>
        <v>3.5052289939353614</v>
      </c>
      <c r="H632" s="33"/>
      <c r="I632" s="8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3">
      <c r="A633" s="39" t="s">
        <v>510</v>
      </c>
      <c r="B633" s="16"/>
      <c r="G633" s="32"/>
      <c r="H633" s="3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3">
      <c r="A634" s="3" t="s">
        <v>771</v>
      </c>
      <c r="G634" t="s">
        <v>535</v>
      </c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3">
      <c r="A635" s="20" t="s">
        <v>873</v>
      </c>
      <c r="B635" s="11"/>
      <c r="C635" s="11"/>
      <c r="D635" s="11"/>
      <c r="E635" s="14" t="s">
        <v>563</v>
      </c>
      <c r="F635" s="31">
        <f>$F$15</f>
        <v>0.7</v>
      </c>
      <c r="G635" s="19">
        <f>SUM(H635:AE635)/48</f>
        <v>88.061962987635127</v>
      </c>
      <c r="H635" s="2">
        <f>H$67*H$27*$F$15</f>
        <v>0</v>
      </c>
      <c r="I635" s="2">
        <f t="shared" ref="I635:AE635" si="208">I$67*I$27*$F$15</f>
        <v>0</v>
      </c>
      <c r="J635" s="2">
        <f t="shared" si="208"/>
        <v>0</v>
      </c>
      <c r="K635" s="2">
        <f t="shared" si="208"/>
        <v>0</v>
      </c>
      <c r="L635" s="2">
        <f t="shared" si="208"/>
        <v>0</v>
      </c>
      <c r="M635" s="2">
        <f t="shared" si="208"/>
        <v>0</v>
      </c>
      <c r="N635" s="2">
        <f t="shared" si="208"/>
        <v>0</v>
      </c>
      <c r="O635" s="2">
        <f t="shared" si="208"/>
        <v>0</v>
      </c>
      <c r="P635" s="2">
        <f t="shared" si="208"/>
        <v>363.10159905330499</v>
      </c>
      <c r="Q635" s="2">
        <f t="shared" si="208"/>
        <v>383.24702566713552</v>
      </c>
      <c r="R635" s="2">
        <f t="shared" si="208"/>
        <v>396.97193099096972</v>
      </c>
      <c r="S635" s="2">
        <f t="shared" si="208"/>
        <v>403.94927034308319</v>
      </c>
      <c r="T635" s="2">
        <f t="shared" si="208"/>
        <v>403.94927034308319</v>
      </c>
      <c r="U635" s="2">
        <f t="shared" si="208"/>
        <v>396.97193099096972</v>
      </c>
      <c r="V635" s="2">
        <f t="shared" si="208"/>
        <v>383.24702566713552</v>
      </c>
      <c r="W635" s="2">
        <f t="shared" si="208"/>
        <v>363.10159905330499</v>
      </c>
      <c r="X635" s="2">
        <f t="shared" si="208"/>
        <v>336.52093640773637</v>
      </c>
      <c r="Y635" s="2">
        <f t="shared" si="208"/>
        <v>304.26227191423402</v>
      </c>
      <c r="Z635" s="2">
        <f t="shared" si="208"/>
        <v>266.80620612113245</v>
      </c>
      <c r="AA635" s="2">
        <f t="shared" si="208"/>
        <v>224.84515685439567</v>
      </c>
      <c r="AB635" s="2">
        <f t="shared" si="208"/>
        <v>0</v>
      </c>
      <c r="AC635" s="2">
        <f t="shared" si="208"/>
        <v>0</v>
      </c>
      <c r="AD635" s="2">
        <f t="shared" si="208"/>
        <v>0</v>
      </c>
      <c r="AE635" s="2">
        <f t="shared" si="208"/>
        <v>0</v>
      </c>
      <c r="AF635" s="2"/>
    </row>
    <row r="636" spans="1:33">
      <c r="A636" s="5"/>
      <c r="B636" s="5" t="s">
        <v>1107</v>
      </c>
      <c r="C636" s="11"/>
      <c r="D636" t="s">
        <v>18</v>
      </c>
      <c r="E636" s="12"/>
      <c r="F636" s="18"/>
      <c r="G636" s="19"/>
      <c r="H636" s="2" t="s">
        <v>860</v>
      </c>
      <c r="I636" s="2"/>
      <c r="J636" s="2" t="s">
        <v>861</v>
      </c>
      <c r="K636" s="26"/>
      <c r="L636" s="2"/>
      <c r="M636" s="2"/>
      <c r="N636" s="2"/>
      <c r="O636" s="26"/>
      <c r="P636" s="2"/>
      <c r="Q636" s="2"/>
      <c r="R636" s="26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3">
      <c r="A637" s="20" t="s">
        <v>874</v>
      </c>
      <c r="G637" s="19">
        <f>SUM(H637:AE637)/48</f>
        <v>41.061124607228827</v>
      </c>
      <c r="H637" s="2">
        <f>H$67*$S$20*H$28^2</f>
        <v>26.217376131334131</v>
      </c>
      <c r="I637" s="2">
        <f t="shared" ref="I637:AE637" si="209">I$67*$S$20*I$28^2</f>
        <v>78.739852052952244</v>
      </c>
      <c r="J637" s="2">
        <f t="shared" si="209"/>
        <v>130.03169463138511</v>
      </c>
      <c r="K637" s="2">
        <f t="shared" si="209"/>
        <v>178.97706432981269</v>
      </c>
      <c r="L637" s="2">
        <f t="shared" si="209"/>
        <v>224.84515685439567</v>
      </c>
      <c r="M637" s="2">
        <f t="shared" si="209"/>
        <v>266.80620612113245</v>
      </c>
      <c r="N637" s="2">
        <f t="shared" si="209"/>
        <v>304.26227191423402</v>
      </c>
      <c r="O637" s="2">
        <f t="shared" si="209"/>
        <v>336.52093640773637</v>
      </c>
      <c r="P637" s="2">
        <f t="shared" si="209"/>
        <v>0.90775399763326403</v>
      </c>
      <c r="Q637" s="2">
        <f t="shared" si="209"/>
        <v>0.95811756416784044</v>
      </c>
      <c r="R637" s="2">
        <f t="shared" si="209"/>
        <v>0.99242982747742603</v>
      </c>
      <c r="S637" s="2">
        <f t="shared" si="209"/>
        <v>1.0098731758577097</v>
      </c>
      <c r="T637" s="2">
        <f t="shared" si="209"/>
        <v>1.0098731758577097</v>
      </c>
      <c r="U637" s="2">
        <f t="shared" si="209"/>
        <v>0.99242982747742603</v>
      </c>
      <c r="V637" s="2">
        <f t="shared" si="209"/>
        <v>0.95811756416784044</v>
      </c>
      <c r="W637" s="2">
        <f t="shared" si="209"/>
        <v>0.90775399763326403</v>
      </c>
      <c r="X637" s="2">
        <f t="shared" si="209"/>
        <v>0.84130234101934243</v>
      </c>
      <c r="Y637" s="2">
        <f t="shared" si="209"/>
        <v>0.76065567978558635</v>
      </c>
      <c r="Z637" s="2">
        <f t="shared" si="209"/>
        <v>0.66701551530283232</v>
      </c>
      <c r="AA637" s="2">
        <f t="shared" si="209"/>
        <v>0.56211289213599014</v>
      </c>
      <c r="AB637" s="2">
        <f t="shared" si="209"/>
        <v>178.97706432981269</v>
      </c>
      <c r="AC637" s="2">
        <f t="shared" si="209"/>
        <v>130.03169463138511</v>
      </c>
      <c r="AD637" s="2">
        <f t="shared" si="209"/>
        <v>78.739852052952244</v>
      </c>
      <c r="AE637" s="2">
        <f t="shared" si="209"/>
        <v>26.217376131334131</v>
      </c>
      <c r="AF637" s="2"/>
    </row>
    <row r="638" spans="1:33">
      <c r="A638" s="16"/>
      <c r="B638" s="5" t="s">
        <v>12</v>
      </c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3">
      <c r="A639" s="20" t="s">
        <v>875</v>
      </c>
      <c r="E639" s="12"/>
      <c r="F639" s="6"/>
      <c r="G639" s="19">
        <f>(SUM(H639:AE639)+24*$S$24)/48</f>
        <v>237.45794620275001</v>
      </c>
      <c r="H639" s="2">
        <f>$S$24*(1-H$27)</f>
        <v>316.61059493700003</v>
      </c>
      <c r="I639" s="2">
        <f t="shared" ref="I639:AE639" si="210">$S$24*(1-I$27)</f>
        <v>316.61059493700003</v>
      </c>
      <c r="J639" s="2">
        <f t="shared" si="210"/>
        <v>316.61059493700003</v>
      </c>
      <c r="K639" s="2">
        <f t="shared" si="210"/>
        <v>316.61059493700003</v>
      </c>
      <c r="L639" s="2">
        <f t="shared" si="210"/>
        <v>316.61059493700003</v>
      </c>
      <c r="M639" s="2">
        <f t="shared" si="210"/>
        <v>316.61059493700003</v>
      </c>
      <c r="N639" s="2">
        <f t="shared" si="210"/>
        <v>316.61059493700003</v>
      </c>
      <c r="O639" s="2">
        <f t="shared" si="210"/>
        <v>316.61059493700003</v>
      </c>
      <c r="P639" s="2">
        <f t="shared" si="210"/>
        <v>0</v>
      </c>
      <c r="Q639" s="2">
        <f t="shared" si="210"/>
        <v>0</v>
      </c>
      <c r="R639" s="2">
        <f t="shared" si="210"/>
        <v>0</v>
      </c>
      <c r="S639" s="2">
        <f t="shared" si="210"/>
        <v>0</v>
      </c>
      <c r="T639" s="2">
        <f t="shared" si="210"/>
        <v>0</v>
      </c>
      <c r="U639" s="2">
        <f t="shared" si="210"/>
        <v>0</v>
      </c>
      <c r="V639" s="2">
        <f t="shared" si="210"/>
        <v>0</v>
      </c>
      <c r="W639" s="2">
        <f t="shared" si="210"/>
        <v>0</v>
      </c>
      <c r="X639" s="2">
        <f t="shared" si="210"/>
        <v>0</v>
      </c>
      <c r="Y639" s="2">
        <f t="shared" si="210"/>
        <v>0</v>
      </c>
      <c r="Z639" s="2">
        <f t="shared" si="210"/>
        <v>0</v>
      </c>
      <c r="AA639" s="2">
        <f t="shared" si="210"/>
        <v>0</v>
      </c>
      <c r="AB639" s="2">
        <f t="shared" si="210"/>
        <v>316.61059493700003</v>
      </c>
      <c r="AC639" s="2">
        <f t="shared" si="210"/>
        <v>316.61059493700003</v>
      </c>
      <c r="AD639" s="2">
        <f t="shared" si="210"/>
        <v>316.61059493700003</v>
      </c>
      <c r="AE639" s="2">
        <f t="shared" si="210"/>
        <v>316.61059493700003</v>
      </c>
      <c r="AF639" s="2"/>
    </row>
    <row r="640" spans="1:33">
      <c r="A640" s="20"/>
      <c r="C640" s="5" t="s">
        <v>16</v>
      </c>
      <c r="D640" t="s">
        <v>1102</v>
      </c>
      <c r="E640" s="12"/>
      <c r="F640" s="6"/>
      <c r="G640" s="19"/>
      <c r="H640" s="2" t="s">
        <v>860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3">
      <c r="A641" s="20" t="s">
        <v>876</v>
      </c>
      <c r="E641" s="12">
        <f>$F$7</f>
        <v>-5</v>
      </c>
      <c r="F641" s="6" t="s">
        <v>558</v>
      </c>
      <c r="G641" s="19">
        <f>SUM(H641:AE641)/48</f>
        <v>73.51128940800001</v>
      </c>
      <c r="H641" s="2">
        <f t="shared" ref="H641:AE641" si="211">$M$9*($F$7+273)^4*H$27</f>
        <v>0</v>
      </c>
      <c r="I641" s="2">
        <f t="shared" si="211"/>
        <v>0</v>
      </c>
      <c r="J641" s="2">
        <f t="shared" si="211"/>
        <v>0</v>
      </c>
      <c r="K641" s="2">
        <f t="shared" si="211"/>
        <v>0</v>
      </c>
      <c r="L641" s="2">
        <f t="shared" si="211"/>
        <v>0</v>
      </c>
      <c r="M641" s="2">
        <f t="shared" si="211"/>
        <v>0</v>
      </c>
      <c r="N641" s="2">
        <f t="shared" si="211"/>
        <v>0</v>
      </c>
      <c r="O641" s="2">
        <f t="shared" si="211"/>
        <v>0</v>
      </c>
      <c r="P641" s="2">
        <f t="shared" si="211"/>
        <v>294.04515763199998</v>
      </c>
      <c r="Q641" s="2">
        <f t="shared" si="211"/>
        <v>294.04515763199998</v>
      </c>
      <c r="R641" s="2">
        <f t="shared" si="211"/>
        <v>294.04515763199998</v>
      </c>
      <c r="S641" s="2">
        <f t="shared" si="211"/>
        <v>294.04515763199998</v>
      </c>
      <c r="T641" s="2">
        <f t="shared" si="211"/>
        <v>294.04515763199998</v>
      </c>
      <c r="U641" s="2">
        <f t="shared" si="211"/>
        <v>294.04515763199998</v>
      </c>
      <c r="V641" s="2">
        <f t="shared" si="211"/>
        <v>294.04515763199998</v>
      </c>
      <c r="W641" s="2">
        <f t="shared" si="211"/>
        <v>294.04515763199998</v>
      </c>
      <c r="X641" s="2">
        <f t="shared" si="211"/>
        <v>294.04515763199998</v>
      </c>
      <c r="Y641" s="2">
        <f t="shared" si="211"/>
        <v>294.04515763199998</v>
      </c>
      <c r="Z641" s="2">
        <f t="shared" si="211"/>
        <v>294.04515763199998</v>
      </c>
      <c r="AA641" s="2">
        <f t="shared" si="211"/>
        <v>294.04515763199998</v>
      </c>
      <c r="AB641" s="2">
        <f t="shared" si="211"/>
        <v>0</v>
      </c>
      <c r="AC641" s="2">
        <f t="shared" si="211"/>
        <v>0</v>
      </c>
      <c r="AD641" s="2">
        <f t="shared" si="211"/>
        <v>0</v>
      </c>
      <c r="AE641" s="2">
        <f t="shared" si="211"/>
        <v>0</v>
      </c>
      <c r="AF641" s="2"/>
    </row>
    <row r="642" spans="1:33">
      <c r="A642" s="20"/>
      <c r="B642" t="s">
        <v>865</v>
      </c>
      <c r="D642" t="s">
        <v>743</v>
      </c>
      <c r="E642" s="30"/>
      <c r="F642" s="6"/>
      <c r="G642" s="19"/>
      <c r="H642" t="s">
        <v>617</v>
      </c>
      <c r="I642" s="2"/>
      <c r="K642" s="2" t="s">
        <v>860</v>
      </c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3">
      <c r="A643" s="20"/>
      <c r="B643" s="16" t="s">
        <v>724</v>
      </c>
      <c r="E643" s="30"/>
      <c r="F643" s="6"/>
      <c r="G643" s="32">
        <f>G635+G637+G639+G641</f>
        <v>440.09232320561398</v>
      </c>
      <c r="H643" s="3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3">
      <c r="A644" s="39" t="s">
        <v>510</v>
      </c>
      <c r="B644" s="16"/>
      <c r="E644" s="30"/>
      <c r="G644" s="32"/>
      <c r="H644" s="33"/>
      <c r="I644" s="3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3">
      <c r="A645" s="3" t="s">
        <v>733</v>
      </c>
      <c r="E645" s="12"/>
      <c r="F645" s="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3">
      <c r="A646" s="3" t="s">
        <v>877</v>
      </c>
      <c r="G646" s="19">
        <f>SUM(H646:AE646)/48</f>
        <v>3.3676491643748521</v>
      </c>
      <c r="H646" s="24">
        <f>H$67*H$604*$F$16</f>
        <v>6.0680158060707603</v>
      </c>
      <c r="I646" s="24">
        <f t="shared" ref="I646:AE646" si="212">I$67*I$604*$F$16</f>
        <v>6.5621354735303035</v>
      </c>
      <c r="J646" s="24">
        <f t="shared" si="212"/>
        <v>6.7432905708784183</v>
      </c>
      <c r="K646" s="24">
        <f t="shared" si="212"/>
        <v>6.762967963022164</v>
      </c>
      <c r="L646" s="24">
        <f t="shared" si="212"/>
        <v>6.8498576472422501</v>
      </c>
      <c r="M646" s="24">
        <f t="shared" si="212"/>
        <v>6.9114085987306124</v>
      </c>
      <c r="N646" s="24">
        <f t="shared" si="212"/>
        <v>6.9444306551560304</v>
      </c>
      <c r="O646" s="24">
        <f t="shared" si="212"/>
        <v>6.7764132983794241</v>
      </c>
      <c r="P646" s="24">
        <f t="shared" si="212"/>
        <v>6.8154207384816283</v>
      </c>
      <c r="Q646" s="24">
        <f t="shared" si="212"/>
        <v>6.8113508680556007</v>
      </c>
      <c r="R646" s="24">
        <f t="shared" si="212"/>
        <v>6.7832965549082269</v>
      </c>
      <c r="S646" s="24">
        <f t="shared" si="212"/>
        <v>6.7949917705410288</v>
      </c>
      <c r="T646" s="24">
        <f t="shared" si="212"/>
        <v>6.7949917705410288</v>
      </c>
      <c r="U646" s="24">
        <f t="shared" si="212"/>
        <v>6.7832965549082269</v>
      </c>
      <c r="V646" s="24">
        <f t="shared" si="212"/>
        <v>6.8113508680556007</v>
      </c>
      <c r="W646" s="24">
        <f t="shared" si="212"/>
        <v>6.8154207384816283</v>
      </c>
      <c r="X646" s="24">
        <f t="shared" si="212"/>
        <v>6.7764132983794241</v>
      </c>
      <c r="Y646" s="24">
        <f t="shared" si="212"/>
        <v>6.9444306551560304</v>
      </c>
      <c r="Z646" s="24">
        <f t="shared" si="212"/>
        <v>6.9114085987306124</v>
      </c>
      <c r="AA646" s="24">
        <f t="shared" si="212"/>
        <v>6.8498576472422501</v>
      </c>
      <c r="AB646" s="24">
        <f t="shared" si="212"/>
        <v>6.762967963022164</v>
      </c>
      <c r="AC646" s="24">
        <f t="shared" si="212"/>
        <v>6.7432905708784183</v>
      </c>
      <c r="AD646" s="24">
        <f t="shared" si="212"/>
        <v>6.5621354735303035</v>
      </c>
      <c r="AE646" s="24">
        <f t="shared" si="212"/>
        <v>6.0680158060707603</v>
      </c>
      <c r="AF646" s="2"/>
    </row>
    <row r="647" spans="1:33">
      <c r="B647" s="5" t="s">
        <v>1109</v>
      </c>
      <c r="D647" t="s">
        <v>60</v>
      </c>
      <c r="H647" t="s">
        <v>866</v>
      </c>
      <c r="J647" s="2"/>
      <c r="K647" s="2"/>
      <c r="L647" t="s">
        <v>1112</v>
      </c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3">
      <c r="A648" t="s">
        <v>879</v>
      </c>
      <c r="C648" s="11"/>
      <c r="G648" s="98">
        <f>SUM(H648:AE648)/48</f>
        <v>180.71204454861606</v>
      </c>
      <c r="H648" s="97">
        <f>H$67*(1-($F$16+$F$13)*H$604)</f>
        <v>31.264018351142305</v>
      </c>
      <c r="I648" s="97">
        <f t="shared" ref="I648:AE648" si="213">I$67*(1-($F$16+$F$13)*I$604)</f>
        <v>105.792124749788</v>
      </c>
      <c r="J648" s="97">
        <f t="shared" si="213"/>
        <v>178.88140737682562</v>
      </c>
      <c r="K648" s="97">
        <f t="shared" si="213"/>
        <v>248.78329314887841</v>
      </c>
      <c r="L648" s="97">
        <f t="shared" si="213"/>
        <v>314.22051213466392</v>
      </c>
      <c r="M648" s="97">
        <f t="shared" si="213"/>
        <v>374.10208625948394</v>
      </c>
      <c r="N648" s="97">
        <f t="shared" si="213"/>
        <v>427.57706918064656</v>
      </c>
      <c r="O648" s="97">
        <f t="shared" si="213"/>
        <v>473.83225330384784</v>
      </c>
      <c r="P648" s="97">
        <f t="shared" si="213"/>
        <v>511.76484092289871</v>
      </c>
      <c r="Q648" s="97">
        <f t="shared" si="213"/>
        <v>540.54817306763414</v>
      </c>
      <c r="R648" s="97">
        <f t="shared" si="213"/>
        <v>560.18379607252177</v>
      </c>
      <c r="S648" s="97">
        <f t="shared" si="213"/>
        <v>570.13949459845276</v>
      </c>
      <c r="T648" s="97">
        <f t="shared" si="213"/>
        <v>570.13949459845276</v>
      </c>
      <c r="U648" s="97">
        <f t="shared" si="213"/>
        <v>560.18379607252177</v>
      </c>
      <c r="V648" s="97">
        <f t="shared" si="213"/>
        <v>540.54817306763414</v>
      </c>
      <c r="W648" s="97">
        <f t="shared" si="213"/>
        <v>511.76484092289871</v>
      </c>
      <c r="X648" s="97">
        <f t="shared" si="213"/>
        <v>473.83225330384784</v>
      </c>
      <c r="Y648" s="97">
        <f t="shared" si="213"/>
        <v>427.57706918064656</v>
      </c>
      <c r="Z648" s="97">
        <f t="shared" si="213"/>
        <v>374.10208625948394</v>
      </c>
      <c r="AA648" s="97">
        <f t="shared" si="213"/>
        <v>314.22051213466392</v>
      </c>
      <c r="AB648" s="97">
        <f t="shared" si="213"/>
        <v>248.78329314887841</v>
      </c>
      <c r="AC648" s="97">
        <f t="shared" si="213"/>
        <v>178.88140737682562</v>
      </c>
      <c r="AD648" s="97">
        <f t="shared" si="213"/>
        <v>105.792124749788</v>
      </c>
      <c r="AE648" s="97">
        <f t="shared" si="213"/>
        <v>31.264018351142305</v>
      </c>
      <c r="AF648" s="28"/>
      <c r="AG648" s="11"/>
    </row>
    <row r="649" spans="1:33">
      <c r="B649" s="24" t="s">
        <v>1111</v>
      </c>
      <c r="D649" s="2" t="s">
        <v>59</v>
      </c>
      <c r="E649" s="106" t="s">
        <v>970</v>
      </c>
      <c r="G649" t="s">
        <v>853</v>
      </c>
      <c r="I649" t="s">
        <v>1112</v>
      </c>
      <c r="AF649" s="28"/>
      <c r="AG649" s="11"/>
    </row>
    <row r="650" spans="1:33">
      <c r="A650" t="s">
        <v>878</v>
      </c>
      <c r="C650" s="11"/>
      <c r="D650" s="24"/>
      <c r="G650" s="97">
        <f>SUM(H650:AE650)/48</f>
        <v>126.49843118403122</v>
      </c>
      <c r="H650" s="97">
        <f>H648*($S$20*(1-H$27)+$F$15*H$27)</f>
        <v>21.884812845799612</v>
      </c>
      <c r="I650" s="97">
        <f t="shared" ref="I650:AE650" si="214">I648*($S$20*(1-I$27)+$F$15*I$27)</f>
        <v>74.054487324851593</v>
      </c>
      <c r="J650" s="97">
        <f t="shared" si="214"/>
        <v>125.21698516377792</v>
      </c>
      <c r="K650" s="97">
        <f t="shared" si="214"/>
        <v>174.14830520421489</v>
      </c>
      <c r="L650" s="97">
        <f t="shared" si="214"/>
        <v>219.95435849426474</v>
      </c>
      <c r="M650" s="97">
        <f t="shared" si="214"/>
        <v>261.87146038163877</v>
      </c>
      <c r="N650" s="97">
        <f t="shared" si="214"/>
        <v>299.30394842645256</v>
      </c>
      <c r="O650" s="97">
        <f t="shared" si="214"/>
        <v>331.68257731269347</v>
      </c>
      <c r="P650" s="97">
        <f t="shared" si="214"/>
        <v>358.23538864602909</v>
      </c>
      <c r="Q650" s="97">
        <f t="shared" si="214"/>
        <v>378.38372114734386</v>
      </c>
      <c r="R650" s="97">
        <f t="shared" si="214"/>
        <v>392.12865725076523</v>
      </c>
      <c r="S650" s="97">
        <f t="shared" si="214"/>
        <v>399.09764621891691</v>
      </c>
      <c r="T650" s="97">
        <f t="shared" si="214"/>
        <v>399.09764621891691</v>
      </c>
      <c r="U650" s="97">
        <f t="shared" si="214"/>
        <v>392.12865725076523</v>
      </c>
      <c r="V650" s="97">
        <f t="shared" si="214"/>
        <v>378.38372114734386</v>
      </c>
      <c r="W650" s="97">
        <f t="shared" si="214"/>
        <v>358.23538864602909</v>
      </c>
      <c r="X650" s="97">
        <f t="shared" si="214"/>
        <v>331.68257731269347</v>
      </c>
      <c r="Y650" s="97">
        <f t="shared" si="214"/>
        <v>299.30394842645256</v>
      </c>
      <c r="Z650" s="97">
        <f t="shared" si="214"/>
        <v>261.87146038163877</v>
      </c>
      <c r="AA650" s="97">
        <f t="shared" si="214"/>
        <v>219.95435849426474</v>
      </c>
      <c r="AB650" s="97">
        <f t="shared" si="214"/>
        <v>174.14830520421489</v>
      </c>
      <c r="AC650" s="97">
        <f t="shared" si="214"/>
        <v>125.21698516377792</v>
      </c>
      <c r="AD650" s="97">
        <f t="shared" si="214"/>
        <v>74.054487324851593</v>
      </c>
      <c r="AE650" s="97">
        <f t="shared" si="214"/>
        <v>21.884812845799612</v>
      </c>
      <c r="AF650" s="28"/>
      <c r="AG650" s="11"/>
    </row>
    <row r="651" spans="1:33">
      <c r="B651" s="24" t="s">
        <v>917</v>
      </c>
      <c r="D651" s="14" t="s">
        <v>1114</v>
      </c>
      <c r="G651" t="s">
        <v>888</v>
      </c>
      <c r="I651" s="24" t="s">
        <v>20</v>
      </c>
      <c r="M651" s="2" t="s">
        <v>860</v>
      </c>
      <c r="AF651" s="28"/>
      <c r="AG651" s="11"/>
    </row>
    <row r="652" spans="1:33" ht="18">
      <c r="A652" s="20" t="s">
        <v>881</v>
      </c>
      <c r="G652" s="19">
        <f>SUM(H652:AE652)/48</f>
        <v>85.944279960726263</v>
      </c>
      <c r="H652" s="2">
        <f>H$67*H$27*$F$15*(1-H$604*$F$16)*(1-$H$605*$F$16)</f>
        <v>0</v>
      </c>
      <c r="I652" s="2">
        <f t="shared" ref="I652:AE652" si="215">I$67*I$27*$F$15*(1-I$604*$F$16)*(1-$H$605*$F$16)</f>
        <v>0</v>
      </c>
      <c r="J652" s="2">
        <f t="shared" si="215"/>
        <v>0</v>
      </c>
      <c r="K652" s="2">
        <f t="shared" si="215"/>
        <v>0</v>
      </c>
      <c r="L652" s="2">
        <f t="shared" si="215"/>
        <v>0</v>
      </c>
      <c r="M652" s="2">
        <f t="shared" si="215"/>
        <v>0</v>
      </c>
      <c r="N652" s="2">
        <f t="shared" si="215"/>
        <v>0</v>
      </c>
      <c r="O652" s="2">
        <f t="shared" si="215"/>
        <v>0</v>
      </c>
      <c r="P652" s="2">
        <f t="shared" si="215"/>
        <v>354.52167517993462</v>
      </c>
      <c r="Q652" s="2">
        <f t="shared" si="215"/>
        <v>374.45577043498412</v>
      </c>
      <c r="R652" s="2">
        <f t="shared" si="215"/>
        <v>388.0542064858883</v>
      </c>
      <c r="S652" s="2">
        <f t="shared" si="215"/>
        <v>394.94927567593606</v>
      </c>
      <c r="T652" s="2">
        <f t="shared" si="215"/>
        <v>394.94927567593606</v>
      </c>
      <c r="U652" s="2">
        <f t="shared" si="215"/>
        <v>388.0542064858883</v>
      </c>
      <c r="V652" s="2">
        <f t="shared" si="215"/>
        <v>374.45577043498412</v>
      </c>
      <c r="W652" s="2">
        <f t="shared" si="215"/>
        <v>354.52167517993462</v>
      </c>
      <c r="X652" s="2">
        <f t="shared" si="215"/>
        <v>328.25058533441279</v>
      </c>
      <c r="Y652" s="2">
        <f t="shared" si="215"/>
        <v>296.21847509900152</v>
      </c>
      <c r="Z652" s="2">
        <f t="shared" si="215"/>
        <v>259.18344462357931</v>
      </c>
      <c r="AA652" s="2">
        <f t="shared" si="215"/>
        <v>217.71107750438114</v>
      </c>
      <c r="AB652" s="2">
        <f t="shared" si="215"/>
        <v>0</v>
      </c>
      <c r="AC652" s="2">
        <f t="shared" si="215"/>
        <v>0</v>
      </c>
      <c r="AD652" s="2">
        <f t="shared" si="215"/>
        <v>0</v>
      </c>
      <c r="AE652" s="2">
        <f t="shared" si="215"/>
        <v>0</v>
      </c>
      <c r="AF652" s="2"/>
    </row>
    <row r="653" spans="1:33">
      <c r="B653" s="5" t="s">
        <v>1107</v>
      </c>
      <c r="C653" s="11"/>
      <c r="D653" t="s">
        <v>776</v>
      </c>
      <c r="E653" s="12"/>
      <c r="F653" s="18"/>
      <c r="G653" s="2" t="s">
        <v>860</v>
      </c>
      <c r="I653" s="2" t="s">
        <v>867</v>
      </c>
      <c r="K653" s="9"/>
      <c r="AF653" s="2"/>
    </row>
    <row r="654" spans="1:33">
      <c r="A654" s="11" t="s">
        <v>568</v>
      </c>
      <c r="B654" t="s">
        <v>883</v>
      </c>
      <c r="C654" s="11"/>
      <c r="E654" s="12"/>
      <c r="F654" s="18"/>
      <c r="G654" s="2" t="s">
        <v>2</v>
      </c>
      <c r="H654" s="2"/>
      <c r="J654" t="s">
        <v>868</v>
      </c>
      <c r="AF654" s="2"/>
    </row>
    <row r="655" spans="1:33">
      <c r="A655" s="11"/>
      <c r="B655" t="s">
        <v>3</v>
      </c>
      <c r="C655" s="11"/>
      <c r="E655" s="12"/>
      <c r="F655" s="18"/>
      <c r="G655" s="19"/>
      <c r="I655" s="12" t="s">
        <v>858</v>
      </c>
      <c r="K655" s="11"/>
      <c r="AF655" s="2"/>
    </row>
    <row r="656" spans="1:33">
      <c r="A656" s="11"/>
      <c r="B656" s="2" t="s">
        <v>4</v>
      </c>
      <c r="C656" s="11"/>
      <c r="E656" s="12"/>
      <c r="F656" s="18"/>
      <c r="G656" s="19"/>
      <c r="H656" s="2"/>
      <c r="K656" s="11"/>
      <c r="L656" s="12"/>
      <c r="AF656" s="2"/>
    </row>
    <row r="657" spans="1:33" ht="18">
      <c r="A657" s="20" t="s">
        <v>882</v>
      </c>
      <c r="G657" s="19">
        <f>SUM(H657:AE657)/48</f>
        <v>39.470953768136198</v>
      </c>
      <c r="H657" s="2">
        <f>H$67*$S$20*H$28^2*(1-H$604*$F$16)*(1-$H$605*$F$16)</f>
        <v>21.736221994561848</v>
      </c>
      <c r="I657" s="2">
        <f t="shared" ref="I657:AE657" si="216">I$67*$S$20*I$28^2*(1-I$604*$F$16)*(1-$H$605*$F$16)</f>
        <v>73.358166358765899</v>
      </c>
      <c r="J657" s="2">
        <f t="shared" si="216"/>
        <v>123.97930564774119</v>
      </c>
      <c r="K657" s="2">
        <f t="shared" si="216"/>
        <v>172.39074835586862</v>
      </c>
      <c r="L657" s="2">
        <f t="shared" si="216"/>
        <v>217.71107750438114</v>
      </c>
      <c r="M657" s="2">
        <f t="shared" si="216"/>
        <v>259.18344462357931</v>
      </c>
      <c r="N657" s="2">
        <f t="shared" si="216"/>
        <v>296.21847509900152</v>
      </c>
      <c r="O657" s="2">
        <f t="shared" si="216"/>
        <v>328.25058533441279</v>
      </c>
      <c r="P657" s="2">
        <f t="shared" si="216"/>
        <v>0.88630418794983812</v>
      </c>
      <c r="Q657" s="2">
        <f t="shared" si="216"/>
        <v>0.93613942608746192</v>
      </c>
      <c r="R657" s="2">
        <f t="shared" si="216"/>
        <v>0.97013551621472238</v>
      </c>
      <c r="S657" s="2">
        <f t="shared" si="216"/>
        <v>0.98737318918984174</v>
      </c>
      <c r="T657" s="2">
        <f t="shared" si="216"/>
        <v>0.98737318918984174</v>
      </c>
      <c r="U657" s="2">
        <f t="shared" si="216"/>
        <v>0.97013551621472238</v>
      </c>
      <c r="V657" s="2">
        <f t="shared" si="216"/>
        <v>0.93613942608746192</v>
      </c>
      <c r="W657" s="2">
        <f t="shared" si="216"/>
        <v>0.88630418794983812</v>
      </c>
      <c r="X657" s="2">
        <f t="shared" si="216"/>
        <v>0.82062646333603351</v>
      </c>
      <c r="Y657" s="2">
        <f t="shared" si="216"/>
        <v>0.74054618774750514</v>
      </c>
      <c r="Z657" s="2">
        <f t="shared" si="216"/>
        <v>0.6479586115589494</v>
      </c>
      <c r="AA657" s="2">
        <f t="shared" si="216"/>
        <v>0.54427769376095381</v>
      </c>
      <c r="AB657" s="2">
        <f t="shared" si="216"/>
        <v>172.39074835586862</v>
      </c>
      <c r="AC657" s="2">
        <f t="shared" si="216"/>
        <v>123.97930564774119</v>
      </c>
      <c r="AD657" s="2">
        <f t="shared" si="216"/>
        <v>73.358166358765899</v>
      </c>
      <c r="AE657" s="2">
        <f t="shared" si="216"/>
        <v>21.736221994561848</v>
      </c>
      <c r="AF657" s="2"/>
    </row>
    <row r="658" spans="1:33">
      <c r="A658" s="14"/>
      <c r="B658" s="5" t="s">
        <v>12</v>
      </c>
      <c r="G658" s="2"/>
      <c r="H658" s="2"/>
      <c r="I658" s="2"/>
      <c r="J658" s="10"/>
      <c r="K658" s="9"/>
      <c r="AF658" s="2"/>
    </row>
    <row r="659" spans="1:33">
      <c r="A659" s="11" t="s">
        <v>568</v>
      </c>
      <c r="B659" t="s">
        <v>726</v>
      </c>
      <c r="C659" s="11"/>
      <c r="E659" s="12"/>
      <c r="F659" s="18"/>
      <c r="G659" s="2" t="s">
        <v>2</v>
      </c>
      <c r="H659" s="2"/>
      <c r="J659" s="11"/>
      <c r="K659" t="s">
        <v>868</v>
      </c>
      <c r="M659" s="10"/>
      <c r="N659" s="10"/>
      <c r="AF659" s="2"/>
    </row>
    <row r="660" spans="1:33">
      <c r="A660" s="11"/>
      <c r="B660" t="s">
        <v>3</v>
      </c>
      <c r="C660" s="11"/>
      <c r="E660" s="12"/>
      <c r="F660" s="18"/>
      <c r="G660" s="19"/>
      <c r="H660" s="2"/>
      <c r="J660" s="11"/>
      <c r="M660" s="10"/>
      <c r="N660" s="10"/>
      <c r="AF660" s="2"/>
    </row>
    <row r="661" spans="1:33">
      <c r="A661" t="s">
        <v>834</v>
      </c>
      <c r="B661" s="5"/>
      <c r="C661" s="11"/>
      <c r="D661" s="5" t="s">
        <v>21</v>
      </c>
      <c r="F661" t="s">
        <v>22</v>
      </c>
      <c r="G661" s="97">
        <f>SUM(H661:AE661)/48</f>
        <v>1.3447040602308435</v>
      </c>
      <c r="H661" s="97">
        <f>H650*$H$605*$F$16</f>
        <v>0.23264001312653304</v>
      </c>
      <c r="I661" s="97">
        <f t="shared" ref="I661:AE661" si="217">I650*$H$605*$F$16</f>
        <v>0.7872142670225647</v>
      </c>
      <c r="J661" s="97">
        <f t="shared" si="217"/>
        <v>1.3310820283188873</v>
      </c>
      <c r="K661" s="97">
        <f t="shared" si="217"/>
        <v>1.8512319156728785</v>
      </c>
      <c r="L661" s="97">
        <f t="shared" si="217"/>
        <v>2.3381595816189527</v>
      </c>
      <c r="M661" s="97">
        <f t="shared" si="217"/>
        <v>2.7837469029277826</v>
      </c>
      <c r="N661" s="97">
        <f t="shared" si="217"/>
        <v>3.1816618666728655</v>
      </c>
      <c r="O661" s="97">
        <f t="shared" si="217"/>
        <v>3.5258532793291524</v>
      </c>
      <c r="P661" s="97">
        <f t="shared" si="217"/>
        <v>3.808115066106057</v>
      </c>
      <c r="Q661" s="97">
        <f t="shared" si="217"/>
        <v>4.022295939875022</v>
      </c>
      <c r="R661" s="97">
        <f t="shared" si="217"/>
        <v>4.1684074071310473</v>
      </c>
      <c r="S661" s="97">
        <f t="shared" si="217"/>
        <v>4.2424891777384959</v>
      </c>
      <c r="T661" s="97">
        <f t="shared" si="217"/>
        <v>4.2424891777384959</v>
      </c>
      <c r="U661" s="97">
        <f t="shared" si="217"/>
        <v>4.1684074071310473</v>
      </c>
      <c r="V661" s="97">
        <f t="shared" si="217"/>
        <v>4.022295939875022</v>
      </c>
      <c r="W661" s="97">
        <f t="shared" si="217"/>
        <v>3.808115066106057</v>
      </c>
      <c r="X661" s="97">
        <f t="shared" si="217"/>
        <v>3.5258532793291524</v>
      </c>
      <c r="Y661" s="97">
        <f t="shared" si="217"/>
        <v>3.1816618666728655</v>
      </c>
      <c r="Z661" s="97">
        <f t="shared" si="217"/>
        <v>2.7837469029277826</v>
      </c>
      <c r="AA661" s="97">
        <f t="shared" si="217"/>
        <v>2.3381595816189527</v>
      </c>
      <c r="AB661" s="97">
        <f t="shared" si="217"/>
        <v>1.8512319156728785</v>
      </c>
      <c r="AC661" s="97">
        <f t="shared" si="217"/>
        <v>1.3310820283188873</v>
      </c>
      <c r="AD661" s="97">
        <f t="shared" si="217"/>
        <v>0.7872142670225647</v>
      </c>
      <c r="AE661" s="97">
        <f t="shared" si="217"/>
        <v>0.23264001312653304</v>
      </c>
      <c r="AF661" s="28"/>
      <c r="AG661" s="11"/>
    </row>
    <row r="662" spans="1:33">
      <c r="A662" t="s">
        <v>918</v>
      </c>
      <c r="B662" s="5"/>
      <c r="C662" s="11"/>
      <c r="D662" s="104" t="s">
        <v>24</v>
      </c>
      <c r="G662" s="97">
        <f>SUM(H662:AE662)/48</f>
        <v>0.94129284216158993</v>
      </c>
      <c r="H662" s="97">
        <f>H661*($S$20*(1-H$27)+$F$15*H$27)</f>
        <v>0.16284800918857312</v>
      </c>
      <c r="I662" s="97">
        <f t="shared" ref="I662:AE662" si="218">I661*($S$20*(1-I$27)+$F$15*I$27)</f>
        <v>0.55104998691579521</v>
      </c>
      <c r="J662" s="97">
        <f t="shared" si="218"/>
        <v>0.93175741982322102</v>
      </c>
      <c r="K662" s="97">
        <f t="shared" si="218"/>
        <v>1.2958623409710148</v>
      </c>
      <c r="L662" s="97">
        <f t="shared" si="218"/>
        <v>1.6367117071332669</v>
      </c>
      <c r="M662" s="97">
        <f t="shared" si="218"/>
        <v>1.9486228320494476</v>
      </c>
      <c r="N662" s="97">
        <f t="shared" si="218"/>
        <v>2.2271633066710059</v>
      </c>
      <c r="O662" s="97">
        <f t="shared" si="218"/>
        <v>2.4680972955304066</v>
      </c>
      <c r="P662" s="97">
        <f t="shared" si="218"/>
        <v>2.6656805462742397</v>
      </c>
      <c r="Q662" s="97">
        <f t="shared" si="218"/>
        <v>2.815607157912515</v>
      </c>
      <c r="R662" s="97">
        <f t="shared" si="218"/>
        <v>2.9178851849917331</v>
      </c>
      <c r="S662" s="97">
        <f t="shared" si="218"/>
        <v>2.969742424416947</v>
      </c>
      <c r="T662" s="97">
        <f t="shared" si="218"/>
        <v>2.969742424416947</v>
      </c>
      <c r="U662" s="97">
        <f t="shared" si="218"/>
        <v>2.9178851849917331</v>
      </c>
      <c r="V662" s="97">
        <f t="shared" si="218"/>
        <v>2.815607157912515</v>
      </c>
      <c r="W662" s="97">
        <f t="shared" si="218"/>
        <v>2.6656805462742397</v>
      </c>
      <c r="X662" s="97">
        <f t="shared" si="218"/>
        <v>2.4680972955304066</v>
      </c>
      <c r="Y662" s="97">
        <f t="shared" si="218"/>
        <v>2.2271633066710059</v>
      </c>
      <c r="Z662" s="97">
        <f t="shared" si="218"/>
        <v>1.9486228320494476</v>
      </c>
      <c r="AA662" s="97">
        <f t="shared" si="218"/>
        <v>1.6367117071332669</v>
      </c>
      <c r="AB662" s="97">
        <f t="shared" si="218"/>
        <v>1.2958623409710148</v>
      </c>
      <c r="AC662" s="97">
        <f t="shared" si="218"/>
        <v>0.93175741982322102</v>
      </c>
      <c r="AD662" s="97">
        <f t="shared" si="218"/>
        <v>0.55104998691579521</v>
      </c>
      <c r="AE662" s="97">
        <f t="shared" si="218"/>
        <v>0.16284800918857312</v>
      </c>
      <c r="AF662" s="28"/>
      <c r="AG662" s="11"/>
    </row>
    <row r="663" spans="1:33">
      <c r="A663" s="20" t="s">
        <v>835</v>
      </c>
      <c r="B663" s="5"/>
      <c r="C663" s="11"/>
      <c r="G663" s="19">
        <f>SUM(H663:AE663)/48</f>
        <v>0.93108658505017139</v>
      </c>
      <c r="H663" s="24">
        <f>H662*(1-($F$16+$F$13)*$H$605)</f>
        <v>0.16108227956925031</v>
      </c>
      <c r="I663" s="24">
        <f t="shared" ref="I663:AE663" si="219">I662*(1-($F$16+$F$13)*$H$605)</f>
        <v>0.54507505797148159</v>
      </c>
      <c r="J663" s="24">
        <f t="shared" si="219"/>
        <v>0.92165455346087866</v>
      </c>
      <c r="K663" s="24">
        <f t="shared" si="219"/>
        <v>1.281811555030071</v>
      </c>
      <c r="L663" s="24">
        <f t="shared" si="219"/>
        <v>1.618965157120297</v>
      </c>
      <c r="M663" s="24">
        <f t="shared" si="219"/>
        <v>1.9274942897443703</v>
      </c>
      <c r="N663" s="24">
        <f t="shared" si="219"/>
        <v>2.2030146036119214</v>
      </c>
      <c r="O663" s="24">
        <f t="shared" si="219"/>
        <v>2.4413361916040937</v>
      </c>
      <c r="P663" s="24">
        <f t="shared" si="219"/>
        <v>2.6367770851901153</v>
      </c>
      <c r="Q663" s="24">
        <f t="shared" si="219"/>
        <v>2.7850780714356489</v>
      </c>
      <c r="R663" s="24">
        <f t="shared" si="219"/>
        <v>2.8862471175532973</v>
      </c>
      <c r="S663" s="24">
        <f t="shared" si="219"/>
        <v>2.9375420789126898</v>
      </c>
      <c r="T663" s="24">
        <f t="shared" si="219"/>
        <v>2.9375420789126898</v>
      </c>
      <c r="U663" s="24">
        <f t="shared" si="219"/>
        <v>2.8862471175532973</v>
      </c>
      <c r="V663" s="24">
        <f t="shared" si="219"/>
        <v>2.7850780714356489</v>
      </c>
      <c r="W663" s="24">
        <f t="shared" si="219"/>
        <v>2.6367770851901153</v>
      </c>
      <c r="X663" s="24">
        <f t="shared" si="219"/>
        <v>2.4413361916040937</v>
      </c>
      <c r="Y663" s="24">
        <f t="shared" si="219"/>
        <v>2.2030146036119214</v>
      </c>
      <c r="Z663" s="24">
        <f t="shared" si="219"/>
        <v>1.9274942897443703</v>
      </c>
      <c r="AA663" s="24">
        <f t="shared" si="219"/>
        <v>1.618965157120297</v>
      </c>
      <c r="AB663" s="24">
        <f t="shared" si="219"/>
        <v>1.281811555030071</v>
      </c>
      <c r="AC663" s="24">
        <f t="shared" si="219"/>
        <v>0.92165455346087866</v>
      </c>
      <c r="AD663" s="24">
        <f t="shared" si="219"/>
        <v>0.54507505797148159</v>
      </c>
      <c r="AE663" s="24">
        <f t="shared" si="219"/>
        <v>0.16108227956925031</v>
      </c>
      <c r="AF663" s="28"/>
      <c r="AG663" s="11"/>
    </row>
    <row r="664" spans="1:33">
      <c r="A664" s="20"/>
      <c r="B664" s="24" t="s">
        <v>25</v>
      </c>
      <c r="C664" s="11"/>
      <c r="G664" s="19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8"/>
      <c r="AG664" s="11"/>
    </row>
    <row r="665" spans="1:33">
      <c r="A665" s="100" t="s">
        <v>836</v>
      </c>
      <c r="B665" s="5"/>
      <c r="C665" s="11"/>
      <c r="G665" s="19">
        <f>SUM(H665:AE665)/48</f>
        <v>6.9124235010718264E-3</v>
      </c>
      <c r="H665" s="2">
        <f>H663^2/(H652+H657)</f>
        <v>1.1937447454170222E-3</v>
      </c>
      <c r="I665" s="2">
        <f t="shared" ref="I665:AE665" si="220">I663^2/(I652+I657)</f>
        <v>4.0500851312119989E-3</v>
      </c>
      <c r="J665" s="2">
        <f t="shared" si="220"/>
        <v>6.851523417373228E-3</v>
      </c>
      <c r="K665" s="2">
        <f t="shared" si="220"/>
        <v>9.5309109002581546E-3</v>
      </c>
      <c r="L665" s="2">
        <f t="shared" si="220"/>
        <v>1.2039112616659586E-2</v>
      </c>
      <c r="M665" s="2">
        <f t="shared" si="220"/>
        <v>1.4334380972491944E-2</v>
      </c>
      <c r="N665" s="2">
        <f t="shared" si="220"/>
        <v>1.6384100762470471E-2</v>
      </c>
      <c r="O665" s="2">
        <f t="shared" si="220"/>
        <v>1.8157233122262275E-2</v>
      </c>
      <c r="P665" s="2">
        <f t="shared" si="220"/>
        <v>1.9562288413865404E-2</v>
      </c>
      <c r="Q665" s="2">
        <f t="shared" si="220"/>
        <v>2.0662831723950493E-2</v>
      </c>
      <c r="R665" s="2">
        <f t="shared" si="220"/>
        <v>2.1413627694124304E-2</v>
      </c>
      <c r="S665" s="2">
        <f t="shared" si="220"/>
        <v>2.1794278175855782E-2</v>
      </c>
      <c r="T665" s="2">
        <f t="shared" si="220"/>
        <v>2.1794278175855782E-2</v>
      </c>
      <c r="U665" s="2">
        <f t="shared" si="220"/>
        <v>2.1413627694124304E-2</v>
      </c>
      <c r="V665" s="2">
        <f t="shared" si="220"/>
        <v>2.0662831723950493E-2</v>
      </c>
      <c r="W665" s="2">
        <f t="shared" si="220"/>
        <v>1.9562288413865404E-2</v>
      </c>
      <c r="X665" s="2">
        <f t="shared" si="220"/>
        <v>1.8111953239164365E-2</v>
      </c>
      <c r="Y665" s="2">
        <f t="shared" si="220"/>
        <v>1.6343242655830894E-2</v>
      </c>
      <c r="Z665" s="2">
        <f t="shared" si="220"/>
        <v>1.4298634386525629E-2</v>
      </c>
      <c r="AA665" s="2">
        <f t="shared" si="220"/>
        <v>1.200908989192976E-2</v>
      </c>
      <c r="AB665" s="2">
        <f t="shared" si="220"/>
        <v>9.5309109002581546E-3</v>
      </c>
      <c r="AC665" s="2">
        <f t="shared" si="220"/>
        <v>6.851523417373228E-3</v>
      </c>
      <c r="AD665" s="2">
        <f t="shared" si="220"/>
        <v>4.0500851312119989E-3</v>
      </c>
      <c r="AE665" s="2">
        <f t="shared" si="220"/>
        <v>1.1937447454170222E-3</v>
      </c>
      <c r="AF665" s="28"/>
      <c r="AG665" s="11"/>
    </row>
    <row r="666" spans="1:33" ht="18">
      <c r="A666" s="100"/>
      <c r="B666" s="24" t="s">
        <v>26</v>
      </c>
      <c r="C666" s="11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8"/>
      <c r="AG666" s="11"/>
    </row>
    <row r="667" spans="1:33" ht="18">
      <c r="A667" s="20" t="s">
        <v>890</v>
      </c>
      <c r="G667" s="19">
        <f>(SUM(H667:AE667)+24*$S$24*(1-$H$605))/48</f>
        <v>232.4094936424431</v>
      </c>
      <c r="H667" s="2">
        <f>$S$24*(1-H$27)*(1-$H$605)</f>
        <v>309.87932485659081</v>
      </c>
      <c r="I667" s="2">
        <f t="shared" ref="I667:AE667" si="221">$S$24*(1-I$27)*(1-$H$605)</f>
        <v>309.87932485659081</v>
      </c>
      <c r="J667" s="2">
        <f t="shared" si="221"/>
        <v>309.87932485659081</v>
      </c>
      <c r="K667" s="2">
        <f t="shared" si="221"/>
        <v>309.87932485659081</v>
      </c>
      <c r="L667" s="2">
        <f t="shared" si="221"/>
        <v>309.87932485659081</v>
      </c>
      <c r="M667" s="2">
        <f t="shared" si="221"/>
        <v>309.87932485659081</v>
      </c>
      <c r="N667" s="2">
        <f t="shared" si="221"/>
        <v>309.87932485659081</v>
      </c>
      <c r="O667" s="2">
        <f t="shared" si="221"/>
        <v>309.87932485659081</v>
      </c>
      <c r="P667" s="2">
        <f t="shared" si="221"/>
        <v>0</v>
      </c>
      <c r="Q667" s="2">
        <f t="shared" si="221"/>
        <v>0</v>
      </c>
      <c r="R667" s="2">
        <f t="shared" si="221"/>
        <v>0</v>
      </c>
      <c r="S667" s="2">
        <f t="shared" si="221"/>
        <v>0</v>
      </c>
      <c r="T667" s="2">
        <f t="shared" si="221"/>
        <v>0</v>
      </c>
      <c r="U667" s="2">
        <f t="shared" si="221"/>
        <v>0</v>
      </c>
      <c r="V667" s="2">
        <f t="shared" si="221"/>
        <v>0</v>
      </c>
      <c r="W667" s="2">
        <f t="shared" si="221"/>
        <v>0</v>
      </c>
      <c r="X667" s="2">
        <f t="shared" si="221"/>
        <v>0</v>
      </c>
      <c r="Y667" s="2">
        <f t="shared" si="221"/>
        <v>0</v>
      </c>
      <c r="Z667" s="2">
        <f t="shared" si="221"/>
        <v>0</v>
      </c>
      <c r="AA667" s="2">
        <f t="shared" si="221"/>
        <v>0</v>
      </c>
      <c r="AB667" s="2">
        <f t="shared" si="221"/>
        <v>309.87932485659081</v>
      </c>
      <c r="AC667" s="2">
        <f t="shared" si="221"/>
        <v>309.87932485659081</v>
      </c>
      <c r="AD667" s="2">
        <f t="shared" si="221"/>
        <v>309.87932485659081</v>
      </c>
      <c r="AE667" s="2">
        <f t="shared" si="221"/>
        <v>309.87932485659081</v>
      </c>
      <c r="AF667" s="2"/>
    </row>
    <row r="668" spans="1:33">
      <c r="A668" s="14"/>
      <c r="B668" s="5" t="s">
        <v>17</v>
      </c>
      <c r="D668" t="s">
        <v>27</v>
      </c>
      <c r="E668" s="12"/>
      <c r="F668" s="6"/>
      <c r="G668" s="2" t="s">
        <v>860</v>
      </c>
      <c r="I668" s="2" t="s">
        <v>5</v>
      </c>
      <c r="J668" s="10"/>
      <c r="K668" s="9"/>
      <c r="AF668" s="2"/>
    </row>
    <row r="669" spans="1:33" ht="18">
      <c r="A669" s="20" t="s">
        <v>891</v>
      </c>
      <c r="D669" s="105" t="s">
        <v>892</v>
      </c>
      <c r="E669">
        <f>$F$7</f>
        <v>-5</v>
      </c>
      <c r="F669" s="5" t="s">
        <v>893</v>
      </c>
      <c r="G669" s="19">
        <f>SUM(H669:AE669)/48</f>
        <v>71.948409482699844</v>
      </c>
      <c r="H669" s="2">
        <f t="shared" ref="H669:AE669" si="222">$M$9*($F$7+273)^4*H$27*(1-$H$605)</f>
        <v>0</v>
      </c>
      <c r="I669" s="2">
        <f t="shared" si="222"/>
        <v>0</v>
      </c>
      <c r="J669" s="2">
        <f t="shared" si="222"/>
        <v>0</v>
      </c>
      <c r="K669" s="2">
        <f t="shared" si="222"/>
        <v>0</v>
      </c>
      <c r="L669" s="2">
        <f t="shared" si="222"/>
        <v>0</v>
      </c>
      <c r="M669" s="2">
        <f t="shared" si="222"/>
        <v>0</v>
      </c>
      <c r="N669" s="2">
        <f t="shared" si="222"/>
        <v>0</v>
      </c>
      <c r="O669" s="2">
        <f t="shared" si="222"/>
        <v>0</v>
      </c>
      <c r="P669" s="2">
        <f t="shared" si="222"/>
        <v>287.79363793079938</v>
      </c>
      <c r="Q669" s="2">
        <f t="shared" si="222"/>
        <v>287.79363793079938</v>
      </c>
      <c r="R669" s="2">
        <f t="shared" si="222"/>
        <v>287.79363793079938</v>
      </c>
      <c r="S669" s="2">
        <f t="shared" si="222"/>
        <v>287.79363793079938</v>
      </c>
      <c r="T669" s="2">
        <f t="shared" si="222"/>
        <v>287.79363793079938</v>
      </c>
      <c r="U669" s="2">
        <f t="shared" si="222"/>
        <v>287.79363793079938</v>
      </c>
      <c r="V669" s="2">
        <f t="shared" si="222"/>
        <v>287.79363793079938</v>
      </c>
      <c r="W669" s="2">
        <f t="shared" si="222"/>
        <v>287.79363793079938</v>
      </c>
      <c r="X669" s="2">
        <f t="shared" si="222"/>
        <v>287.79363793079938</v>
      </c>
      <c r="Y669" s="2">
        <f t="shared" si="222"/>
        <v>287.79363793079938</v>
      </c>
      <c r="Z669" s="2">
        <f t="shared" si="222"/>
        <v>287.79363793079938</v>
      </c>
      <c r="AA669" s="2">
        <f t="shared" si="222"/>
        <v>287.79363793079938</v>
      </c>
      <c r="AB669" s="2">
        <f t="shared" si="222"/>
        <v>0</v>
      </c>
      <c r="AC669" s="2">
        <f t="shared" si="222"/>
        <v>0</v>
      </c>
      <c r="AD669" s="2">
        <f t="shared" si="222"/>
        <v>0</v>
      </c>
      <c r="AE669" s="2">
        <f t="shared" si="222"/>
        <v>0</v>
      </c>
      <c r="AF669" s="2"/>
    </row>
    <row r="670" spans="1:33">
      <c r="A670" s="14"/>
      <c r="B670" t="s">
        <v>6</v>
      </c>
      <c r="D670" t="s">
        <v>744</v>
      </c>
      <c r="E670" s="30"/>
      <c r="F670" t="s">
        <v>618</v>
      </c>
      <c r="H670" s="2" t="s">
        <v>860</v>
      </c>
      <c r="I670" s="2"/>
      <c r="J670" s="2" t="s">
        <v>7</v>
      </c>
      <c r="K670" s="9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3">
      <c r="A671" s="20" t="s">
        <v>914</v>
      </c>
      <c r="B671" s="11"/>
      <c r="C671" s="11"/>
      <c r="D671" s="11"/>
      <c r="E671" s="27"/>
      <c r="F671" s="6"/>
      <c r="G671" s="19">
        <f>SUM(H671:AE671)/24</f>
        <v>2.5618512323568008</v>
      </c>
      <c r="H671" s="24">
        <f t="shared" ref="H671:AE671" si="223">$M$9*($F$9+273)^4*$F$10*$F$18</f>
        <v>2.5618512323567995</v>
      </c>
      <c r="I671" s="24">
        <f t="shared" si="223"/>
        <v>2.5618512323567995</v>
      </c>
      <c r="J671" s="24">
        <f t="shared" si="223"/>
        <v>2.5618512323567995</v>
      </c>
      <c r="K671" s="24">
        <f t="shared" si="223"/>
        <v>2.5618512323567995</v>
      </c>
      <c r="L671" s="24">
        <f t="shared" si="223"/>
        <v>2.5618512323567995</v>
      </c>
      <c r="M671" s="24">
        <f t="shared" si="223"/>
        <v>2.5618512323567995</v>
      </c>
      <c r="N671" s="24">
        <f t="shared" si="223"/>
        <v>2.5618512323567995</v>
      </c>
      <c r="O671" s="24">
        <f t="shared" si="223"/>
        <v>2.5618512323567995</v>
      </c>
      <c r="P671" s="24">
        <f t="shared" si="223"/>
        <v>2.5618512323567995</v>
      </c>
      <c r="Q671" s="24">
        <f t="shared" si="223"/>
        <v>2.5618512323567995</v>
      </c>
      <c r="R671" s="24">
        <f t="shared" si="223"/>
        <v>2.5618512323567995</v>
      </c>
      <c r="S671" s="24">
        <f t="shared" si="223"/>
        <v>2.5618512323567995</v>
      </c>
      <c r="T671" s="24">
        <f t="shared" si="223"/>
        <v>2.5618512323567995</v>
      </c>
      <c r="U671" s="24">
        <f t="shared" si="223"/>
        <v>2.5618512323567995</v>
      </c>
      <c r="V671" s="24">
        <f t="shared" si="223"/>
        <v>2.5618512323567995</v>
      </c>
      <c r="W671" s="24">
        <f t="shared" si="223"/>
        <v>2.5618512323567995</v>
      </c>
      <c r="X671" s="24">
        <f t="shared" si="223"/>
        <v>2.5618512323567995</v>
      </c>
      <c r="Y671" s="24">
        <f t="shared" si="223"/>
        <v>2.5618512323567995</v>
      </c>
      <c r="Z671" s="24">
        <f t="shared" si="223"/>
        <v>2.5618512323567995</v>
      </c>
      <c r="AA671" s="24">
        <f t="shared" si="223"/>
        <v>2.5618512323567995</v>
      </c>
      <c r="AB671" s="24">
        <f t="shared" si="223"/>
        <v>2.5618512323567995</v>
      </c>
      <c r="AC671" s="24">
        <f t="shared" si="223"/>
        <v>2.5618512323567995</v>
      </c>
      <c r="AD671" s="24">
        <f t="shared" si="223"/>
        <v>2.5618512323567995</v>
      </c>
      <c r="AE671" s="24">
        <f t="shared" si="223"/>
        <v>2.5618512323567995</v>
      </c>
      <c r="AF671" s="28"/>
      <c r="AG671" s="11"/>
    </row>
    <row r="672" spans="1:33">
      <c r="A672" s="20"/>
      <c r="B672" s="5" t="s">
        <v>923</v>
      </c>
      <c r="C672" s="11"/>
      <c r="D672" t="s">
        <v>743</v>
      </c>
      <c r="E672" s="27"/>
      <c r="F672" s="6"/>
      <c r="G672" s="28"/>
      <c r="H672" t="s">
        <v>717</v>
      </c>
      <c r="I672" s="29"/>
      <c r="J672" s="11"/>
      <c r="K672" s="2" t="s">
        <v>719</v>
      </c>
      <c r="L672" s="11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11"/>
    </row>
    <row r="673" spans="1:33">
      <c r="A673" s="20"/>
      <c r="B673" s="27" t="s">
        <v>925</v>
      </c>
      <c r="C673" s="11" t="s">
        <v>924</v>
      </c>
      <c r="E673" s="27"/>
      <c r="F673" s="6"/>
      <c r="G673" s="28"/>
      <c r="I673" s="29"/>
      <c r="J673" s="11"/>
      <c r="K673" s="2"/>
      <c r="L673" s="11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11"/>
    </row>
    <row r="674" spans="1:33">
      <c r="A674" s="20"/>
      <c r="B674" s="14"/>
      <c r="C674" t="s">
        <v>926</v>
      </c>
      <c r="E674" s="27"/>
      <c r="F674" s="6"/>
      <c r="G674" s="28"/>
      <c r="I674" s="29"/>
      <c r="J674" s="11"/>
      <c r="K674" s="2"/>
      <c r="L674" s="11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11"/>
    </row>
    <row r="675" spans="1:33">
      <c r="A675" s="3"/>
      <c r="B675" s="16" t="s">
        <v>741</v>
      </c>
      <c r="E675" s="12"/>
      <c r="F675" s="6"/>
      <c r="G675" s="32">
        <f>G646+G652+G657+G663+G665+G667+G669+G671</f>
        <v>436.64063625928827</v>
      </c>
      <c r="H675" s="2"/>
      <c r="I675" s="29"/>
      <c r="K675" s="10"/>
      <c r="L675" s="3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3">
      <c r="A676" s="20"/>
      <c r="B676" s="16" t="s">
        <v>725</v>
      </c>
      <c r="E676" s="30"/>
      <c r="F676" s="6"/>
      <c r="G676" s="32">
        <f>G643-G675</f>
        <v>3.451686946325708</v>
      </c>
      <c r="H676" s="33"/>
      <c r="I676" s="8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3">
      <c r="A677" s="39" t="s">
        <v>510</v>
      </c>
      <c r="B677" s="16"/>
      <c r="E677" s="30"/>
      <c r="F677" s="12"/>
      <c r="G677" s="32"/>
      <c r="H677" s="3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3">
      <c r="A678" s="3" t="s">
        <v>977</v>
      </c>
      <c r="E678" s="12"/>
      <c r="F678" s="6"/>
      <c r="G678" s="87" t="s">
        <v>535</v>
      </c>
      <c r="H678" s="21"/>
      <c r="I678" s="2"/>
      <c r="J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3">
      <c r="A679" s="20" t="s">
        <v>935</v>
      </c>
      <c r="B679" s="11"/>
      <c r="C679" s="11"/>
      <c r="E679" s="14" t="s">
        <v>563</v>
      </c>
      <c r="F679" s="31">
        <f>$F$15</f>
        <v>0.7</v>
      </c>
      <c r="G679" s="19">
        <f>SUM(H679:AE679)/48</f>
        <v>128.90293268739484</v>
      </c>
      <c r="H679" s="2">
        <f>H$67*$F$15</f>
        <v>26.217376131334131</v>
      </c>
      <c r="I679" s="2">
        <f t="shared" ref="I679:AE679" si="224">I$67*$F$15</f>
        <v>78.739852052952244</v>
      </c>
      <c r="J679" s="2">
        <f t="shared" si="224"/>
        <v>130.03169463138511</v>
      </c>
      <c r="K679" s="2">
        <f t="shared" si="224"/>
        <v>178.97706432981269</v>
      </c>
      <c r="L679" s="2">
        <f t="shared" si="224"/>
        <v>224.84515685439567</v>
      </c>
      <c r="M679" s="2">
        <f t="shared" si="224"/>
        <v>266.80620612113245</v>
      </c>
      <c r="N679" s="2">
        <f t="shared" si="224"/>
        <v>304.26227191423402</v>
      </c>
      <c r="O679" s="2">
        <f t="shared" si="224"/>
        <v>336.52093640773637</v>
      </c>
      <c r="P679" s="2">
        <f t="shared" si="224"/>
        <v>363.10159905330499</v>
      </c>
      <c r="Q679" s="2">
        <f t="shared" si="224"/>
        <v>383.24702566713552</v>
      </c>
      <c r="R679" s="2">
        <f t="shared" si="224"/>
        <v>396.97193099096972</v>
      </c>
      <c r="S679" s="2">
        <f t="shared" si="224"/>
        <v>403.94927034308319</v>
      </c>
      <c r="T679" s="2">
        <f t="shared" si="224"/>
        <v>403.94927034308319</v>
      </c>
      <c r="U679" s="2">
        <f t="shared" si="224"/>
        <v>396.97193099096972</v>
      </c>
      <c r="V679" s="2">
        <f t="shared" si="224"/>
        <v>383.24702566713552</v>
      </c>
      <c r="W679" s="2">
        <f t="shared" si="224"/>
        <v>363.10159905330499</v>
      </c>
      <c r="X679" s="2">
        <f t="shared" si="224"/>
        <v>336.52093640773637</v>
      </c>
      <c r="Y679" s="2">
        <f t="shared" si="224"/>
        <v>304.26227191423402</v>
      </c>
      <c r="Z679" s="2">
        <f t="shared" si="224"/>
        <v>266.80620612113245</v>
      </c>
      <c r="AA679" s="2">
        <f t="shared" si="224"/>
        <v>224.84515685439567</v>
      </c>
      <c r="AB679" s="2">
        <f t="shared" si="224"/>
        <v>178.97706432981269</v>
      </c>
      <c r="AC679" s="2">
        <f t="shared" si="224"/>
        <v>130.03169463138511</v>
      </c>
      <c r="AD679" s="2">
        <f t="shared" si="224"/>
        <v>78.739852052952244</v>
      </c>
      <c r="AE679" s="2">
        <f t="shared" si="224"/>
        <v>26.217376131334131</v>
      </c>
      <c r="AF679" s="28"/>
      <c r="AG679" s="11"/>
    </row>
    <row r="680" spans="1:33">
      <c r="A680" s="3"/>
      <c r="B680" s="5" t="s">
        <v>1108</v>
      </c>
      <c r="C680" s="11"/>
      <c r="D680" t="s">
        <v>18</v>
      </c>
      <c r="F680" s="27"/>
      <c r="G680" s="2"/>
      <c r="H680" s="2" t="s">
        <v>1019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8"/>
      <c r="AG680" s="11"/>
    </row>
    <row r="681" spans="1:33">
      <c r="A681" s="20" t="s">
        <v>936</v>
      </c>
      <c r="B681" s="11"/>
      <c r="C681" s="11"/>
      <c r="D681" s="24" t="s">
        <v>1013</v>
      </c>
      <c r="E681" s="27"/>
      <c r="F681" s="6" t="s">
        <v>1049</v>
      </c>
      <c r="G681" s="19">
        <f>SUM(H681:AE681)/24</f>
        <v>294.0451576320001</v>
      </c>
      <c r="H681" s="2">
        <f t="shared" ref="H681:AE681" si="225">$M$9*($F$7+273)^4</f>
        <v>294.04515763199998</v>
      </c>
      <c r="I681" s="2">
        <f t="shared" si="225"/>
        <v>294.04515763199998</v>
      </c>
      <c r="J681" s="2">
        <f t="shared" si="225"/>
        <v>294.04515763199998</v>
      </c>
      <c r="K681" s="2">
        <f t="shared" si="225"/>
        <v>294.04515763199998</v>
      </c>
      <c r="L681" s="2">
        <f t="shared" si="225"/>
        <v>294.04515763199998</v>
      </c>
      <c r="M681" s="2">
        <f t="shared" si="225"/>
        <v>294.04515763199998</v>
      </c>
      <c r="N681" s="2">
        <f t="shared" si="225"/>
        <v>294.04515763199998</v>
      </c>
      <c r="O681" s="2">
        <f t="shared" si="225"/>
        <v>294.04515763199998</v>
      </c>
      <c r="P681" s="2">
        <f t="shared" si="225"/>
        <v>294.04515763199998</v>
      </c>
      <c r="Q681" s="2">
        <f t="shared" si="225"/>
        <v>294.04515763199998</v>
      </c>
      <c r="R681" s="2">
        <f t="shared" si="225"/>
        <v>294.04515763199998</v>
      </c>
      <c r="S681" s="2">
        <f t="shared" si="225"/>
        <v>294.04515763199998</v>
      </c>
      <c r="T681" s="2">
        <f t="shared" si="225"/>
        <v>294.04515763199998</v>
      </c>
      <c r="U681" s="2">
        <f t="shared" si="225"/>
        <v>294.04515763199998</v>
      </c>
      <c r="V681" s="2">
        <f t="shared" si="225"/>
        <v>294.04515763199998</v>
      </c>
      <c r="W681" s="2">
        <f t="shared" si="225"/>
        <v>294.04515763199998</v>
      </c>
      <c r="X681" s="2">
        <f t="shared" si="225"/>
        <v>294.04515763199998</v>
      </c>
      <c r="Y681" s="2">
        <f t="shared" si="225"/>
        <v>294.04515763199998</v>
      </c>
      <c r="Z681" s="2">
        <f t="shared" si="225"/>
        <v>294.04515763199998</v>
      </c>
      <c r="AA681" s="2">
        <f t="shared" si="225"/>
        <v>294.04515763199998</v>
      </c>
      <c r="AB681" s="2">
        <f t="shared" si="225"/>
        <v>294.04515763199998</v>
      </c>
      <c r="AC681" s="2">
        <f t="shared" si="225"/>
        <v>294.04515763199998</v>
      </c>
      <c r="AD681" s="2">
        <f t="shared" si="225"/>
        <v>294.04515763199998</v>
      </c>
      <c r="AE681" s="2">
        <f t="shared" si="225"/>
        <v>294.04515763199998</v>
      </c>
      <c r="AF681" s="28"/>
      <c r="AG681" s="11"/>
    </row>
    <row r="682" spans="1:33">
      <c r="A682" s="20"/>
      <c r="B682" s="16" t="s">
        <v>729</v>
      </c>
      <c r="C682" s="11"/>
      <c r="D682" s="11"/>
      <c r="E682" s="21"/>
      <c r="F682" s="21"/>
      <c r="G682" s="82">
        <f>G679+G681</f>
        <v>422.94809031939496</v>
      </c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8"/>
      <c r="AG682" s="11"/>
    </row>
    <row r="683" spans="1:33">
      <c r="A683" s="39" t="s">
        <v>510</v>
      </c>
      <c r="B683" s="16"/>
      <c r="C683" s="11"/>
      <c r="D683" s="11"/>
      <c r="E683" s="21"/>
      <c r="F683" s="21"/>
      <c r="G683" s="82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8"/>
      <c r="AG683" s="11"/>
    </row>
    <row r="684" spans="1:33">
      <c r="A684" s="3" t="s">
        <v>728</v>
      </c>
      <c r="B684" s="16"/>
      <c r="C684" s="11"/>
      <c r="D684" s="11"/>
      <c r="E684" s="21"/>
      <c r="F684" s="21"/>
      <c r="G684" s="82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8"/>
      <c r="AG684" s="11"/>
    </row>
    <row r="685" spans="1:33">
      <c r="A685" s="3" t="s">
        <v>877</v>
      </c>
      <c r="G685" s="19">
        <f>SUM(H685:AE685)/48</f>
        <v>3.3676491643748521</v>
      </c>
      <c r="H685" s="24">
        <f>H$67*H$604*$F$16</f>
        <v>6.0680158060707603</v>
      </c>
      <c r="I685" s="24">
        <f t="shared" ref="I685:AE685" si="226">I$67*I$604*$F$16</f>
        <v>6.5621354735303035</v>
      </c>
      <c r="J685" s="24">
        <f t="shared" si="226"/>
        <v>6.7432905708784183</v>
      </c>
      <c r="K685" s="24">
        <f t="shared" si="226"/>
        <v>6.762967963022164</v>
      </c>
      <c r="L685" s="24">
        <f t="shared" si="226"/>
        <v>6.8498576472422501</v>
      </c>
      <c r="M685" s="24">
        <f t="shared" si="226"/>
        <v>6.9114085987306124</v>
      </c>
      <c r="N685" s="24">
        <f t="shared" si="226"/>
        <v>6.9444306551560304</v>
      </c>
      <c r="O685" s="24">
        <f t="shared" si="226"/>
        <v>6.7764132983794241</v>
      </c>
      <c r="P685" s="24">
        <f t="shared" si="226"/>
        <v>6.8154207384816283</v>
      </c>
      <c r="Q685" s="24">
        <f t="shared" si="226"/>
        <v>6.8113508680556007</v>
      </c>
      <c r="R685" s="24">
        <f t="shared" si="226"/>
        <v>6.7832965549082269</v>
      </c>
      <c r="S685" s="24">
        <f t="shared" si="226"/>
        <v>6.7949917705410288</v>
      </c>
      <c r="T685" s="24">
        <f t="shared" si="226"/>
        <v>6.7949917705410288</v>
      </c>
      <c r="U685" s="24">
        <f t="shared" si="226"/>
        <v>6.7832965549082269</v>
      </c>
      <c r="V685" s="24">
        <f t="shared" si="226"/>
        <v>6.8113508680556007</v>
      </c>
      <c r="W685" s="24">
        <f t="shared" si="226"/>
        <v>6.8154207384816283</v>
      </c>
      <c r="X685" s="24">
        <f t="shared" si="226"/>
        <v>6.7764132983794241</v>
      </c>
      <c r="Y685" s="24">
        <f t="shared" si="226"/>
        <v>6.9444306551560304</v>
      </c>
      <c r="Z685" s="24">
        <f t="shared" si="226"/>
        <v>6.9114085987306124</v>
      </c>
      <c r="AA685" s="24">
        <f t="shared" si="226"/>
        <v>6.8498576472422501</v>
      </c>
      <c r="AB685" s="24">
        <f t="shared" si="226"/>
        <v>6.762967963022164</v>
      </c>
      <c r="AC685" s="24">
        <f t="shared" si="226"/>
        <v>6.7432905708784183</v>
      </c>
      <c r="AD685" s="24">
        <f t="shared" si="226"/>
        <v>6.5621354735303035</v>
      </c>
      <c r="AE685" s="24">
        <f t="shared" si="226"/>
        <v>6.0680158060707603</v>
      </c>
      <c r="AF685" s="28"/>
      <c r="AG685" s="11"/>
    </row>
    <row r="686" spans="1:33">
      <c r="B686" s="5" t="s">
        <v>1109</v>
      </c>
      <c r="D686" t="s">
        <v>776</v>
      </c>
      <c r="G686" t="s">
        <v>894</v>
      </c>
      <c r="J686" s="2"/>
      <c r="K686" s="2" t="s">
        <v>1113</v>
      </c>
      <c r="L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3">
      <c r="A687" t="s">
        <v>879</v>
      </c>
      <c r="C687" s="11"/>
      <c r="G687" s="98">
        <f>SUM(H687:AE687)/48</f>
        <v>180.71204454861606</v>
      </c>
      <c r="H687" s="97">
        <f>H$67*(1-($F$16+$F$13)*H$604)</f>
        <v>31.264018351142305</v>
      </c>
      <c r="I687" s="97">
        <f t="shared" ref="I687:AE687" si="227">I$67*(1-($F$16+$F$13)*I$604)</f>
        <v>105.792124749788</v>
      </c>
      <c r="J687" s="97">
        <f t="shared" si="227"/>
        <v>178.88140737682562</v>
      </c>
      <c r="K687" s="97">
        <f t="shared" si="227"/>
        <v>248.78329314887841</v>
      </c>
      <c r="L687" s="97">
        <f t="shared" si="227"/>
        <v>314.22051213466392</v>
      </c>
      <c r="M687" s="97">
        <f t="shared" si="227"/>
        <v>374.10208625948394</v>
      </c>
      <c r="N687" s="97">
        <f t="shared" si="227"/>
        <v>427.57706918064656</v>
      </c>
      <c r="O687" s="97">
        <f t="shared" si="227"/>
        <v>473.83225330384784</v>
      </c>
      <c r="P687" s="97">
        <f t="shared" si="227"/>
        <v>511.76484092289871</v>
      </c>
      <c r="Q687" s="97">
        <f t="shared" si="227"/>
        <v>540.54817306763414</v>
      </c>
      <c r="R687" s="97">
        <f t="shared" si="227"/>
        <v>560.18379607252177</v>
      </c>
      <c r="S687" s="97">
        <f t="shared" si="227"/>
        <v>570.13949459845276</v>
      </c>
      <c r="T687" s="97">
        <f t="shared" si="227"/>
        <v>570.13949459845276</v>
      </c>
      <c r="U687" s="97">
        <f t="shared" si="227"/>
        <v>560.18379607252177</v>
      </c>
      <c r="V687" s="97">
        <f t="shared" si="227"/>
        <v>540.54817306763414</v>
      </c>
      <c r="W687" s="97">
        <f t="shared" si="227"/>
        <v>511.76484092289871</v>
      </c>
      <c r="X687" s="97">
        <f t="shared" si="227"/>
        <v>473.83225330384784</v>
      </c>
      <c r="Y687" s="97">
        <f t="shared" si="227"/>
        <v>427.57706918064656</v>
      </c>
      <c r="Z687" s="97">
        <f t="shared" si="227"/>
        <v>374.10208625948394</v>
      </c>
      <c r="AA687" s="97">
        <f t="shared" si="227"/>
        <v>314.22051213466392</v>
      </c>
      <c r="AB687" s="97">
        <f t="shared" si="227"/>
        <v>248.78329314887841</v>
      </c>
      <c r="AC687" s="97">
        <f t="shared" si="227"/>
        <v>178.88140737682562</v>
      </c>
      <c r="AD687" s="97">
        <f t="shared" si="227"/>
        <v>105.792124749788</v>
      </c>
      <c r="AE687" s="97">
        <f t="shared" si="227"/>
        <v>31.264018351142305</v>
      </c>
      <c r="AF687" s="28"/>
      <c r="AG687" s="11"/>
    </row>
    <row r="688" spans="1:33">
      <c r="B688" s="24" t="s">
        <v>1111</v>
      </c>
      <c r="D688" s="2" t="s">
        <v>59</v>
      </c>
      <c r="E688" s="24" t="s">
        <v>880</v>
      </c>
      <c r="G688" t="s">
        <v>853</v>
      </c>
      <c r="I688" t="s">
        <v>1112</v>
      </c>
      <c r="AF688" s="28"/>
      <c r="AG688" s="11"/>
    </row>
    <row r="689" spans="1:33">
      <c r="A689" t="s">
        <v>895</v>
      </c>
      <c r="C689" s="11"/>
      <c r="D689" s="24"/>
      <c r="G689" s="97">
        <f>SUM(H689:AE689)/48</f>
        <v>126.49843118403122</v>
      </c>
      <c r="H689" s="97">
        <f>H687*$F$15</f>
        <v>21.884812845799612</v>
      </c>
      <c r="I689" s="97">
        <f t="shared" ref="I689:AE689" si="228">I687*$F$15</f>
        <v>74.054487324851593</v>
      </c>
      <c r="J689" s="97">
        <f t="shared" si="228"/>
        <v>125.21698516377792</v>
      </c>
      <c r="K689" s="97">
        <f t="shared" si="228"/>
        <v>174.14830520421489</v>
      </c>
      <c r="L689" s="97">
        <f t="shared" si="228"/>
        <v>219.95435849426474</v>
      </c>
      <c r="M689" s="97">
        <f t="shared" si="228"/>
        <v>261.87146038163877</v>
      </c>
      <c r="N689" s="97">
        <f t="shared" si="228"/>
        <v>299.30394842645256</v>
      </c>
      <c r="O689" s="97">
        <f t="shared" si="228"/>
        <v>331.68257731269347</v>
      </c>
      <c r="P689" s="97">
        <f t="shared" si="228"/>
        <v>358.23538864602909</v>
      </c>
      <c r="Q689" s="97">
        <f t="shared" si="228"/>
        <v>378.38372114734386</v>
      </c>
      <c r="R689" s="97">
        <f t="shared" si="228"/>
        <v>392.12865725076523</v>
      </c>
      <c r="S689" s="97">
        <f t="shared" si="228"/>
        <v>399.09764621891691</v>
      </c>
      <c r="T689" s="97">
        <f t="shared" si="228"/>
        <v>399.09764621891691</v>
      </c>
      <c r="U689" s="97">
        <f t="shared" si="228"/>
        <v>392.12865725076523</v>
      </c>
      <c r="V689" s="97">
        <f t="shared" si="228"/>
        <v>378.38372114734386</v>
      </c>
      <c r="W689" s="97">
        <f t="shared" si="228"/>
        <v>358.23538864602909</v>
      </c>
      <c r="X689" s="97">
        <f t="shared" si="228"/>
        <v>331.68257731269347</v>
      </c>
      <c r="Y689" s="97">
        <f t="shared" si="228"/>
        <v>299.30394842645256</v>
      </c>
      <c r="Z689" s="97">
        <f t="shared" si="228"/>
        <v>261.87146038163877</v>
      </c>
      <c r="AA689" s="97">
        <f t="shared" si="228"/>
        <v>219.95435849426474</v>
      </c>
      <c r="AB689" s="97">
        <f t="shared" si="228"/>
        <v>174.14830520421489</v>
      </c>
      <c r="AC689" s="97">
        <f t="shared" si="228"/>
        <v>125.21698516377792</v>
      </c>
      <c r="AD689" s="97">
        <f t="shared" si="228"/>
        <v>74.054487324851593</v>
      </c>
      <c r="AE689" s="97">
        <f t="shared" si="228"/>
        <v>21.884812845799612</v>
      </c>
      <c r="AF689" s="28"/>
      <c r="AG689" s="11"/>
    </row>
    <row r="690" spans="1:33">
      <c r="B690" s="24" t="s">
        <v>938</v>
      </c>
      <c r="C690" s="14" t="s">
        <v>897</v>
      </c>
      <c r="D690" s="24" t="s">
        <v>29</v>
      </c>
      <c r="I690" s="24"/>
      <c r="AF690" s="28"/>
      <c r="AG690" s="11"/>
    </row>
    <row r="691" spans="1:33">
      <c r="A691" s="20" t="s">
        <v>896</v>
      </c>
      <c r="B691" s="11"/>
      <c r="C691" s="11"/>
      <c r="E691" s="14" t="s">
        <v>563</v>
      </c>
      <c r="F691" s="31">
        <f>$F$15</f>
        <v>0.7</v>
      </c>
      <c r="G691" s="19">
        <f>SUM(H691:AE691)/48</f>
        <v>125.12683304259571</v>
      </c>
      <c r="H691" s="2">
        <f>H689*(1-($F$16+$F$13)*$H$605)</f>
        <v>21.647520032410547</v>
      </c>
      <c r="I691" s="2">
        <f t="shared" ref="I691:AE691" si="229">I689*(1-($F$16+$F$13)*$H$605)</f>
        <v>73.251528772488584</v>
      </c>
      <c r="J691" s="2">
        <f t="shared" si="229"/>
        <v>123.85928149489266</v>
      </c>
      <c r="K691" s="2">
        <f t="shared" si="229"/>
        <v>172.26004865022855</v>
      </c>
      <c r="L691" s="2">
        <f t="shared" si="229"/>
        <v>217.56943572101341</v>
      </c>
      <c r="M691" s="2">
        <f t="shared" si="229"/>
        <v>259.03203854065242</v>
      </c>
      <c r="N691" s="2">
        <f t="shared" si="229"/>
        <v>296.05865332244628</v>
      </c>
      <c r="O691" s="2">
        <f t="shared" si="229"/>
        <v>328.08620696777774</v>
      </c>
      <c r="P691" s="2">
        <f t="shared" si="229"/>
        <v>354.35111127860091</v>
      </c>
      <c r="Q691" s="2">
        <f t="shared" si="229"/>
        <v>374.28097928867135</v>
      </c>
      <c r="R691" s="2">
        <f t="shared" si="229"/>
        <v>387.87688169549159</v>
      </c>
      <c r="S691" s="2">
        <f t="shared" si="229"/>
        <v>394.77030725762364</v>
      </c>
      <c r="T691" s="2">
        <f t="shared" si="229"/>
        <v>394.77030725762364</v>
      </c>
      <c r="U691" s="2">
        <f t="shared" si="229"/>
        <v>387.87688169549159</v>
      </c>
      <c r="V691" s="2">
        <f t="shared" si="229"/>
        <v>374.28097928867135</v>
      </c>
      <c r="W691" s="2">
        <f t="shared" si="229"/>
        <v>354.35111127860091</v>
      </c>
      <c r="X691" s="2">
        <f t="shared" si="229"/>
        <v>328.08620696777774</v>
      </c>
      <c r="Y691" s="2">
        <f t="shared" si="229"/>
        <v>296.05865332244628</v>
      </c>
      <c r="Z691" s="2">
        <f t="shared" si="229"/>
        <v>259.03203854065242</v>
      </c>
      <c r="AA691" s="2">
        <f t="shared" si="229"/>
        <v>217.56943572101341</v>
      </c>
      <c r="AB691" s="2">
        <f t="shared" si="229"/>
        <v>172.26004865022855</v>
      </c>
      <c r="AC691" s="2">
        <f t="shared" si="229"/>
        <v>123.85928149489266</v>
      </c>
      <c r="AD691" s="2">
        <f t="shared" si="229"/>
        <v>73.251528772488584</v>
      </c>
      <c r="AE691" s="2">
        <f t="shared" si="229"/>
        <v>21.647520032410547</v>
      </c>
      <c r="AF691" s="28"/>
      <c r="AG691" s="11"/>
    </row>
    <row r="692" spans="1:33">
      <c r="A692" s="3"/>
      <c r="B692" s="5" t="s">
        <v>87</v>
      </c>
      <c r="C692" s="11"/>
      <c r="D692" t="s">
        <v>0</v>
      </c>
      <c r="F692" s="27"/>
      <c r="G692" s="2"/>
      <c r="H692" s="2" t="s">
        <v>898</v>
      </c>
      <c r="I692" s="2"/>
      <c r="J692" s="2" t="s">
        <v>899</v>
      </c>
      <c r="K692" s="2"/>
      <c r="L692" t="s">
        <v>256</v>
      </c>
      <c r="M692" s="2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11"/>
    </row>
    <row r="693" spans="1:33">
      <c r="A693" t="s">
        <v>834</v>
      </c>
      <c r="B693" s="5"/>
      <c r="C693" s="11"/>
      <c r="D693" s="5" t="s">
        <v>21</v>
      </c>
      <c r="F693" t="s">
        <v>255</v>
      </c>
      <c r="G693" s="97">
        <f>SUM(H693:AE693)/48</f>
        <v>1.3447040602308435</v>
      </c>
      <c r="H693" s="97">
        <f>H689*$H$605*$F$16</f>
        <v>0.23264001312653304</v>
      </c>
      <c r="I693" s="97">
        <f t="shared" ref="I693:AE693" si="230">I689*$H$605*$F$16</f>
        <v>0.7872142670225647</v>
      </c>
      <c r="J693" s="97">
        <f t="shared" si="230"/>
        <v>1.3310820283188873</v>
      </c>
      <c r="K693" s="97">
        <f t="shared" si="230"/>
        <v>1.8512319156728785</v>
      </c>
      <c r="L693" s="97">
        <f t="shared" si="230"/>
        <v>2.3381595816189527</v>
      </c>
      <c r="M693" s="97">
        <f t="shared" si="230"/>
        <v>2.7837469029277826</v>
      </c>
      <c r="N693" s="97">
        <f t="shared" si="230"/>
        <v>3.1816618666728655</v>
      </c>
      <c r="O693" s="97">
        <f t="shared" si="230"/>
        <v>3.5258532793291524</v>
      </c>
      <c r="P693" s="97">
        <f t="shared" si="230"/>
        <v>3.808115066106057</v>
      </c>
      <c r="Q693" s="97">
        <f t="shared" si="230"/>
        <v>4.022295939875022</v>
      </c>
      <c r="R693" s="97">
        <f t="shared" si="230"/>
        <v>4.1684074071310473</v>
      </c>
      <c r="S693" s="97">
        <f t="shared" si="230"/>
        <v>4.2424891777384959</v>
      </c>
      <c r="T693" s="97">
        <f t="shared" si="230"/>
        <v>4.2424891777384959</v>
      </c>
      <c r="U693" s="97">
        <f t="shared" si="230"/>
        <v>4.1684074071310473</v>
      </c>
      <c r="V693" s="97">
        <f t="shared" si="230"/>
        <v>4.022295939875022</v>
      </c>
      <c r="W693" s="97">
        <f t="shared" si="230"/>
        <v>3.808115066106057</v>
      </c>
      <c r="X693" s="97">
        <f t="shared" si="230"/>
        <v>3.5258532793291524</v>
      </c>
      <c r="Y693" s="97">
        <f t="shared" si="230"/>
        <v>3.1816618666728655</v>
      </c>
      <c r="Z693" s="97">
        <f t="shared" si="230"/>
        <v>2.7837469029277826</v>
      </c>
      <c r="AA693" s="97">
        <f t="shared" si="230"/>
        <v>2.3381595816189527</v>
      </c>
      <c r="AB693" s="97">
        <f t="shared" si="230"/>
        <v>1.8512319156728785</v>
      </c>
      <c r="AC693" s="97">
        <f t="shared" si="230"/>
        <v>1.3310820283188873</v>
      </c>
      <c r="AD693" s="97">
        <f t="shared" si="230"/>
        <v>0.7872142670225647</v>
      </c>
      <c r="AE693" s="97">
        <f t="shared" si="230"/>
        <v>0.23264001312653304</v>
      </c>
      <c r="AF693" s="28"/>
      <c r="AG693" s="11"/>
    </row>
    <row r="694" spans="1:33">
      <c r="A694" t="s">
        <v>930</v>
      </c>
      <c r="B694" s="5"/>
      <c r="C694" s="11"/>
      <c r="D694" s="5" t="s">
        <v>31</v>
      </c>
      <c r="G694" s="97">
        <f>SUM(H694:AE694)/48</f>
        <v>0.94129284216158993</v>
      </c>
      <c r="H694" s="97">
        <f>H693*$F$15</f>
        <v>0.16284800918857312</v>
      </c>
      <c r="I694" s="97">
        <f t="shared" ref="I694:AE694" si="231">I693*$F$15</f>
        <v>0.55104998691579521</v>
      </c>
      <c r="J694" s="97">
        <f t="shared" si="231"/>
        <v>0.93175741982322102</v>
      </c>
      <c r="K694" s="97">
        <f t="shared" si="231"/>
        <v>1.2958623409710148</v>
      </c>
      <c r="L694" s="97">
        <f t="shared" si="231"/>
        <v>1.6367117071332669</v>
      </c>
      <c r="M694" s="97">
        <f t="shared" si="231"/>
        <v>1.9486228320494476</v>
      </c>
      <c r="N694" s="97">
        <f t="shared" si="231"/>
        <v>2.2271633066710059</v>
      </c>
      <c r="O694" s="97">
        <f t="shared" si="231"/>
        <v>2.4680972955304066</v>
      </c>
      <c r="P694" s="97">
        <f t="shared" si="231"/>
        <v>2.6656805462742397</v>
      </c>
      <c r="Q694" s="97">
        <f t="shared" si="231"/>
        <v>2.815607157912515</v>
      </c>
      <c r="R694" s="97">
        <f t="shared" si="231"/>
        <v>2.9178851849917331</v>
      </c>
      <c r="S694" s="97">
        <f t="shared" si="231"/>
        <v>2.969742424416947</v>
      </c>
      <c r="T694" s="97">
        <f t="shared" si="231"/>
        <v>2.969742424416947</v>
      </c>
      <c r="U694" s="97">
        <f t="shared" si="231"/>
        <v>2.9178851849917331</v>
      </c>
      <c r="V694" s="97">
        <f t="shared" si="231"/>
        <v>2.815607157912515</v>
      </c>
      <c r="W694" s="97">
        <f t="shared" si="231"/>
        <v>2.6656805462742397</v>
      </c>
      <c r="X694" s="97">
        <f t="shared" si="231"/>
        <v>2.4680972955304066</v>
      </c>
      <c r="Y694" s="97">
        <f t="shared" si="231"/>
        <v>2.2271633066710059</v>
      </c>
      <c r="Z694" s="97">
        <f t="shared" si="231"/>
        <v>1.9486228320494476</v>
      </c>
      <c r="AA694" s="97">
        <f t="shared" si="231"/>
        <v>1.6367117071332669</v>
      </c>
      <c r="AB694" s="97">
        <f t="shared" si="231"/>
        <v>1.2958623409710148</v>
      </c>
      <c r="AC694" s="97">
        <f t="shared" si="231"/>
        <v>0.93175741982322102</v>
      </c>
      <c r="AD694" s="97">
        <f t="shared" si="231"/>
        <v>0.55104998691579521</v>
      </c>
      <c r="AE694" s="97">
        <f t="shared" si="231"/>
        <v>0.16284800918857312</v>
      </c>
      <c r="AF694" s="28"/>
      <c r="AG694" s="11"/>
    </row>
    <row r="695" spans="1:33">
      <c r="A695" s="20" t="s">
        <v>835</v>
      </c>
      <c r="B695" s="5"/>
      <c r="C695" s="11"/>
      <c r="G695" s="19">
        <f>SUM(H695:AE695)/48</f>
        <v>0.93108658505017139</v>
      </c>
      <c r="H695" s="24">
        <f>H694*(1-($F$16+$F$13)*$H$605)</f>
        <v>0.16108227956925031</v>
      </c>
      <c r="I695" s="24">
        <f t="shared" ref="I695:AE695" si="232">I694*(1-($F$16+$F$13)*$H$605)</f>
        <v>0.54507505797148159</v>
      </c>
      <c r="J695" s="24">
        <f t="shared" si="232"/>
        <v>0.92165455346087866</v>
      </c>
      <c r="K695" s="24">
        <f t="shared" si="232"/>
        <v>1.281811555030071</v>
      </c>
      <c r="L695" s="24">
        <f t="shared" si="232"/>
        <v>1.618965157120297</v>
      </c>
      <c r="M695" s="24">
        <f t="shared" si="232"/>
        <v>1.9274942897443703</v>
      </c>
      <c r="N695" s="24">
        <f t="shared" si="232"/>
        <v>2.2030146036119214</v>
      </c>
      <c r="O695" s="24">
        <f t="shared" si="232"/>
        <v>2.4413361916040937</v>
      </c>
      <c r="P695" s="24">
        <f t="shared" si="232"/>
        <v>2.6367770851901153</v>
      </c>
      <c r="Q695" s="24">
        <f t="shared" si="232"/>
        <v>2.7850780714356489</v>
      </c>
      <c r="R695" s="24">
        <f t="shared" si="232"/>
        <v>2.8862471175532973</v>
      </c>
      <c r="S695" s="24">
        <f t="shared" si="232"/>
        <v>2.9375420789126898</v>
      </c>
      <c r="T695" s="24">
        <f t="shared" si="232"/>
        <v>2.9375420789126898</v>
      </c>
      <c r="U695" s="24">
        <f t="shared" si="232"/>
        <v>2.8862471175532973</v>
      </c>
      <c r="V695" s="24">
        <f t="shared" si="232"/>
        <v>2.7850780714356489</v>
      </c>
      <c r="W695" s="24">
        <f t="shared" si="232"/>
        <v>2.6367770851901153</v>
      </c>
      <c r="X695" s="24">
        <f t="shared" si="232"/>
        <v>2.4413361916040937</v>
      </c>
      <c r="Y695" s="24">
        <f t="shared" si="232"/>
        <v>2.2030146036119214</v>
      </c>
      <c r="Z695" s="24">
        <f t="shared" si="232"/>
        <v>1.9274942897443703</v>
      </c>
      <c r="AA695" s="24">
        <f t="shared" si="232"/>
        <v>1.618965157120297</v>
      </c>
      <c r="AB695" s="24">
        <f t="shared" si="232"/>
        <v>1.281811555030071</v>
      </c>
      <c r="AC695" s="24">
        <f t="shared" si="232"/>
        <v>0.92165455346087866</v>
      </c>
      <c r="AD695" s="24">
        <f t="shared" si="232"/>
        <v>0.54507505797148159</v>
      </c>
      <c r="AE695" s="24">
        <f t="shared" si="232"/>
        <v>0.16108227956925031</v>
      </c>
      <c r="AF695" s="28"/>
      <c r="AG695" s="11"/>
    </row>
    <row r="696" spans="1:33">
      <c r="A696" s="20"/>
      <c r="B696" s="24" t="s">
        <v>32</v>
      </c>
      <c r="C696" s="11"/>
      <c r="D696" t="s">
        <v>0</v>
      </c>
      <c r="G696" s="27"/>
      <c r="H696" s="24" t="s">
        <v>900</v>
      </c>
      <c r="K696" t="s">
        <v>853</v>
      </c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8"/>
      <c r="AG696" s="11"/>
    </row>
    <row r="697" spans="1:33">
      <c r="A697" s="100" t="s">
        <v>836</v>
      </c>
      <c r="B697" s="5"/>
      <c r="C697" s="11"/>
      <c r="G697" s="19">
        <f>SUM(H697:AE697)/48</f>
        <v>6.9283478833454719E-3</v>
      </c>
      <c r="H697" s="2">
        <f>H695^2/H691</f>
        <v>1.1986361833770177E-3</v>
      </c>
      <c r="I697" s="2">
        <f t="shared" ref="I697:AE697" si="233">I695^2/I691</f>
        <v>4.055981135156865E-3</v>
      </c>
      <c r="J697" s="2">
        <f t="shared" si="233"/>
        <v>6.8581627929934228E-3</v>
      </c>
      <c r="K697" s="2">
        <f t="shared" si="233"/>
        <v>9.5381423347022185E-3</v>
      </c>
      <c r="L697" s="2">
        <f t="shared" si="233"/>
        <v>1.2046950304777577E-2</v>
      </c>
      <c r="M697" s="2">
        <f t="shared" si="233"/>
        <v>1.4342759520900293E-2</v>
      </c>
      <c r="N697" s="2">
        <f t="shared" si="233"/>
        <v>1.6392945415588129E-2</v>
      </c>
      <c r="O697" s="2">
        <f t="shared" si="233"/>
        <v>1.8166330293249235E-2</v>
      </c>
      <c r="P697" s="2">
        <f t="shared" si="233"/>
        <v>1.9620633816828513E-2</v>
      </c>
      <c r="Q697" s="2">
        <f t="shared" si="233"/>
        <v>2.072416257629069E-2</v>
      </c>
      <c r="R697" s="2">
        <f t="shared" si="233"/>
        <v>2.1476975856799422E-2</v>
      </c>
      <c r="S697" s="2">
        <f t="shared" si="233"/>
        <v>2.1858668969627893E-2</v>
      </c>
      <c r="T697" s="2">
        <f t="shared" si="233"/>
        <v>2.1858668969627893E-2</v>
      </c>
      <c r="U697" s="2">
        <f t="shared" si="233"/>
        <v>2.1476975856799422E-2</v>
      </c>
      <c r="V697" s="2">
        <f t="shared" si="233"/>
        <v>2.072416257629069E-2</v>
      </c>
      <c r="W697" s="2">
        <f t="shared" si="233"/>
        <v>1.9620633816828513E-2</v>
      </c>
      <c r="X697" s="2">
        <f t="shared" si="233"/>
        <v>1.8166330293249235E-2</v>
      </c>
      <c r="Y697" s="2">
        <f t="shared" si="233"/>
        <v>1.6392945415588129E-2</v>
      </c>
      <c r="Z697" s="2">
        <f t="shared" si="233"/>
        <v>1.4342759520900293E-2</v>
      </c>
      <c r="AA697" s="2">
        <f t="shared" si="233"/>
        <v>1.2046950304777577E-2</v>
      </c>
      <c r="AB697" s="2">
        <f t="shared" si="233"/>
        <v>9.5381423347022185E-3</v>
      </c>
      <c r="AC697" s="2">
        <f t="shared" si="233"/>
        <v>6.8581627929934228E-3</v>
      </c>
      <c r="AD697" s="2">
        <f t="shared" si="233"/>
        <v>4.055981135156865E-3</v>
      </c>
      <c r="AE697" s="2">
        <f t="shared" si="233"/>
        <v>1.1986361833770177E-3</v>
      </c>
      <c r="AF697" s="28"/>
      <c r="AG697" s="11"/>
    </row>
    <row r="698" spans="1:33">
      <c r="A698" s="100"/>
      <c r="B698" s="24" t="s">
        <v>34</v>
      </c>
      <c r="C698" s="11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8"/>
      <c r="AG698" s="11"/>
    </row>
    <row r="699" spans="1:33">
      <c r="A699" s="20" t="s">
        <v>901</v>
      </c>
      <c r="B699" s="11"/>
      <c r="C699" s="11"/>
      <c r="D699" s="24"/>
      <c r="E699" s="27"/>
      <c r="F699" s="6"/>
      <c r="G699" s="19">
        <f>SUM(H699:AE699)/24</f>
        <v>287.79363793079938</v>
      </c>
      <c r="H699" s="2">
        <f t="shared" ref="H699:AE699" si="234">$M$9*($F$7+273)^4*(1-$H$605)</f>
        <v>287.79363793079938</v>
      </c>
      <c r="I699" s="2">
        <f t="shared" si="234"/>
        <v>287.79363793079938</v>
      </c>
      <c r="J699" s="2">
        <f t="shared" si="234"/>
        <v>287.79363793079938</v>
      </c>
      <c r="K699" s="2">
        <f t="shared" si="234"/>
        <v>287.79363793079938</v>
      </c>
      <c r="L699" s="2">
        <f t="shared" si="234"/>
        <v>287.79363793079938</v>
      </c>
      <c r="M699" s="2">
        <f t="shared" si="234"/>
        <v>287.79363793079938</v>
      </c>
      <c r="N699" s="2">
        <f t="shared" si="234"/>
        <v>287.79363793079938</v>
      </c>
      <c r="O699" s="2">
        <f t="shared" si="234"/>
        <v>287.79363793079938</v>
      </c>
      <c r="P699" s="2">
        <f t="shared" si="234"/>
        <v>287.79363793079938</v>
      </c>
      <c r="Q699" s="2">
        <f t="shared" si="234"/>
        <v>287.79363793079938</v>
      </c>
      <c r="R699" s="2">
        <f t="shared" si="234"/>
        <v>287.79363793079938</v>
      </c>
      <c r="S699" s="2">
        <f t="shared" si="234"/>
        <v>287.79363793079938</v>
      </c>
      <c r="T699" s="2">
        <f t="shared" si="234"/>
        <v>287.79363793079938</v>
      </c>
      <c r="U699" s="2">
        <f t="shared" si="234"/>
        <v>287.79363793079938</v>
      </c>
      <c r="V699" s="2">
        <f t="shared" si="234"/>
        <v>287.79363793079938</v>
      </c>
      <c r="W699" s="2">
        <f t="shared" si="234"/>
        <v>287.79363793079938</v>
      </c>
      <c r="X699" s="2">
        <f t="shared" si="234"/>
        <v>287.79363793079938</v>
      </c>
      <c r="Y699" s="2">
        <f t="shared" si="234"/>
        <v>287.79363793079938</v>
      </c>
      <c r="Z699" s="2">
        <f t="shared" si="234"/>
        <v>287.79363793079938</v>
      </c>
      <c r="AA699" s="2">
        <f t="shared" si="234"/>
        <v>287.79363793079938</v>
      </c>
      <c r="AB699" s="2">
        <f t="shared" si="234"/>
        <v>287.79363793079938</v>
      </c>
      <c r="AC699" s="2">
        <f t="shared" si="234"/>
        <v>287.79363793079938</v>
      </c>
      <c r="AD699" s="2">
        <f t="shared" si="234"/>
        <v>287.79363793079938</v>
      </c>
      <c r="AE699" s="2">
        <f t="shared" si="234"/>
        <v>287.79363793079938</v>
      </c>
      <c r="AF699" s="28"/>
      <c r="AG699" s="11"/>
    </row>
    <row r="700" spans="1:33">
      <c r="A700" s="14"/>
      <c r="B700" s="5" t="s">
        <v>8</v>
      </c>
      <c r="D700" t="s">
        <v>1056</v>
      </c>
      <c r="E700" s="12"/>
      <c r="F700" s="6"/>
      <c r="G700" s="2"/>
      <c r="H700" s="2" t="s">
        <v>9</v>
      </c>
      <c r="J700" s="10"/>
      <c r="K700" s="9"/>
      <c r="AF700" s="2"/>
    </row>
    <row r="701" spans="1:33">
      <c r="A701" s="20" t="s">
        <v>914</v>
      </c>
      <c r="B701" s="11"/>
      <c r="C701" s="11"/>
      <c r="D701" s="11"/>
      <c r="E701" s="27"/>
      <c r="F701" s="6"/>
      <c r="G701" s="19">
        <f>SUM(H701:AE701)/24</f>
        <v>2.5618512323568008</v>
      </c>
      <c r="H701" s="24">
        <f t="shared" ref="H701:AE701" si="235">$M$9*($F$9+273)^4*$F$10*$F$18</f>
        <v>2.5618512323567995</v>
      </c>
      <c r="I701" s="24">
        <f t="shared" si="235"/>
        <v>2.5618512323567995</v>
      </c>
      <c r="J701" s="24">
        <f t="shared" si="235"/>
        <v>2.5618512323567995</v>
      </c>
      <c r="K701" s="24">
        <f t="shared" si="235"/>
        <v>2.5618512323567995</v>
      </c>
      <c r="L701" s="24">
        <f t="shared" si="235"/>
        <v>2.5618512323567995</v>
      </c>
      <c r="M701" s="24">
        <f t="shared" si="235"/>
        <v>2.5618512323567995</v>
      </c>
      <c r="N701" s="24">
        <f t="shared" si="235"/>
        <v>2.5618512323567995</v>
      </c>
      <c r="O701" s="24">
        <f t="shared" si="235"/>
        <v>2.5618512323567995</v>
      </c>
      <c r="P701" s="24">
        <f t="shared" si="235"/>
        <v>2.5618512323567995</v>
      </c>
      <c r="Q701" s="24">
        <f t="shared" si="235"/>
        <v>2.5618512323567995</v>
      </c>
      <c r="R701" s="24">
        <f t="shared" si="235"/>
        <v>2.5618512323567995</v>
      </c>
      <c r="S701" s="24">
        <f t="shared" si="235"/>
        <v>2.5618512323567995</v>
      </c>
      <c r="T701" s="24">
        <f t="shared" si="235"/>
        <v>2.5618512323567995</v>
      </c>
      <c r="U701" s="24">
        <f t="shared" si="235"/>
        <v>2.5618512323567995</v>
      </c>
      <c r="V701" s="24">
        <f t="shared" si="235"/>
        <v>2.5618512323567995</v>
      </c>
      <c r="W701" s="24">
        <f t="shared" si="235"/>
        <v>2.5618512323567995</v>
      </c>
      <c r="X701" s="24">
        <f t="shared" si="235"/>
        <v>2.5618512323567995</v>
      </c>
      <c r="Y701" s="24">
        <f t="shared" si="235"/>
        <v>2.5618512323567995</v>
      </c>
      <c r="Z701" s="24">
        <f t="shared" si="235"/>
        <v>2.5618512323567995</v>
      </c>
      <c r="AA701" s="24">
        <f t="shared" si="235"/>
        <v>2.5618512323567995</v>
      </c>
      <c r="AB701" s="24">
        <f t="shared" si="235"/>
        <v>2.5618512323567995</v>
      </c>
      <c r="AC701" s="24">
        <f t="shared" si="235"/>
        <v>2.5618512323567995</v>
      </c>
      <c r="AD701" s="24">
        <f t="shared" si="235"/>
        <v>2.5618512323567995</v>
      </c>
      <c r="AE701" s="24">
        <f t="shared" si="235"/>
        <v>2.5618512323567995</v>
      </c>
      <c r="AF701" s="28"/>
      <c r="AG701" s="11"/>
    </row>
    <row r="702" spans="1:33">
      <c r="A702" s="20"/>
      <c r="B702" s="5" t="s">
        <v>923</v>
      </c>
      <c r="C702" s="11"/>
      <c r="D702" t="s">
        <v>743</v>
      </c>
      <c r="E702" s="27"/>
      <c r="F702" s="6"/>
      <c r="G702" s="28"/>
      <c r="H702" t="s">
        <v>717</v>
      </c>
      <c r="I702" s="29"/>
      <c r="J702" s="11"/>
      <c r="K702" s="2" t="s">
        <v>719</v>
      </c>
      <c r="L702" s="11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11"/>
    </row>
    <row r="703" spans="1:33">
      <c r="A703" s="20"/>
      <c r="B703" s="27" t="s">
        <v>925</v>
      </c>
      <c r="C703" s="11" t="s">
        <v>924</v>
      </c>
      <c r="E703" s="27"/>
      <c r="F703" s="6"/>
      <c r="G703" s="28"/>
      <c r="I703" s="29"/>
      <c r="J703" s="11"/>
      <c r="K703" s="2"/>
      <c r="L703" s="11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11"/>
    </row>
    <row r="704" spans="1:33">
      <c r="A704" s="20"/>
      <c r="B704" s="14"/>
      <c r="C704" t="s">
        <v>926</v>
      </c>
      <c r="E704" s="27"/>
      <c r="F704" s="6"/>
      <c r="G704" s="28"/>
      <c r="I704" s="29"/>
      <c r="J704" s="11"/>
      <c r="K704" s="2"/>
      <c r="L704" s="11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11"/>
    </row>
    <row r="705" spans="1:33">
      <c r="A705" s="20"/>
      <c r="B705" s="16" t="s">
        <v>742</v>
      </c>
      <c r="C705" s="11"/>
      <c r="D705" s="11"/>
      <c r="E705" s="21"/>
      <c r="F705" s="21"/>
      <c r="G705" s="82">
        <f>G685+G691+G695+G697+G699+G701</f>
        <v>419.78798630306022</v>
      </c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8"/>
      <c r="AG705" s="11"/>
    </row>
    <row r="706" spans="1:33">
      <c r="A706" s="20"/>
      <c r="B706" s="16" t="s">
        <v>730</v>
      </c>
      <c r="C706" s="11"/>
      <c r="D706" s="11"/>
      <c r="E706" s="21"/>
      <c r="F706" s="21"/>
      <c r="G706" s="82">
        <f>G682-G705</f>
        <v>3.160104016334742</v>
      </c>
      <c r="H706" s="24"/>
      <c r="I706" s="32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8"/>
      <c r="AG706" s="11"/>
    </row>
    <row r="707" spans="1:33">
      <c r="A707" s="14"/>
      <c r="B707" s="5"/>
      <c r="G707" s="2"/>
      <c r="H707" s="2"/>
      <c r="I707" s="2"/>
      <c r="J707" s="10"/>
      <c r="K707" s="9"/>
      <c r="AF707" s="2"/>
    </row>
    <row r="708" spans="1:33">
      <c r="A708" s="11"/>
      <c r="C708" s="11"/>
      <c r="E708" s="12"/>
      <c r="F708" s="18"/>
      <c r="G708" s="2"/>
      <c r="H708" s="2"/>
      <c r="J708" s="11"/>
      <c r="M708" s="10"/>
      <c r="N708" s="10"/>
      <c r="AF708" s="2"/>
    </row>
    <row r="709" spans="1:33" ht="18.75">
      <c r="A709" s="85" t="s">
        <v>511</v>
      </c>
      <c r="B709" s="30" t="s">
        <v>609</v>
      </c>
      <c r="H709" s="4" t="s">
        <v>484</v>
      </c>
      <c r="I709" s="4" t="s">
        <v>486</v>
      </c>
      <c r="J709" s="4" t="s">
        <v>485</v>
      </c>
      <c r="K709" s="4" t="s">
        <v>487</v>
      </c>
      <c r="L709" s="4" t="s">
        <v>488</v>
      </c>
      <c r="M709" s="4" t="s">
        <v>489</v>
      </c>
      <c r="N709" s="4" t="s">
        <v>490</v>
      </c>
      <c r="O709" s="4" t="s">
        <v>491</v>
      </c>
      <c r="P709" s="4" t="s">
        <v>494</v>
      </c>
      <c r="Q709" s="4" t="s">
        <v>492</v>
      </c>
      <c r="R709" s="4" t="s">
        <v>495</v>
      </c>
      <c r="S709" s="4" t="s">
        <v>493</v>
      </c>
      <c r="T709" s="4" t="s">
        <v>515</v>
      </c>
      <c r="U709" s="4" t="s">
        <v>517</v>
      </c>
      <c r="V709" s="4" t="s">
        <v>518</v>
      </c>
      <c r="W709" s="4" t="s">
        <v>516</v>
      </c>
      <c r="X709" s="4" t="s">
        <v>519</v>
      </c>
      <c r="Y709" s="4" t="s">
        <v>520</v>
      </c>
      <c r="Z709" s="4" t="s">
        <v>521</v>
      </c>
      <c r="AA709" s="4" t="s">
        <v>522</v>
      </c>
      <c r="AB709" s="4" t="s">
        <v>523</v>
      </c>
      <c r="AC709" s="4" t="s">
        <v>524</v>
      </c>
      <c r="AD709" s="4" t="s">
        <v>525</v>
      </c>
      <c r="AE709" s="4" t="s">
        <v>526</v>
      </c>
      <c r="AF709" s="2"/>
    </row>
    <row r="710" spans="1:33">
      <c r="A710" s="3" t="s">
        <v>722</v>
      </c>
      <c r="G710" t="s">
        <v>535</v>
      </c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2"/>
    </row>
    <row r="711" spans="1:33">
      <c r="A711" t="s">
        <v>561</v>
      </c>
      <c r="B711" s="11"/>
      <c r="C711" s="11"/>
      <c r="D711" s="5" t="s">
        <v>35</v>
      </c>
      <c r="E711" s="12"/>
      <c r="F711" s="6"/>
      <c r="G711" s="2">
        <f>SUM(H711:AE711)/48</f>
        <v>148.9983363303335</v>
      </c>
      <c r="H711" s="2">
        <f>H$68</f>
        <v>30.059477118454481</v>
      </c>
      <c r="I711" s="2">
        <f t="shared" ref="I711:AE711" si="236">I$68</f>
        <v>90.834482434472207</v>
      </c>
      <c r="J711" s="2">
        <f t="shared" si="236"/>
        <v>150.00680326145888</v>
      </c>
      <c r="K711" s="2">
        <f t="shared" si="236"/>
        <v>206.77354127794865</v>
      </c>
      <c r="L711" s="2">
        <f t="shared" si="236"/>
        <v>259.89902118134938</v>
      </c>
      <c r="M711" s="2">
        <f t="shared" si="236"/>
        <v>308.43790248261479</v>
      </c>
      <c r="N711" s="2">
        <f t="shared" si="236"/>
        <v>351.73108718254247</v>
      </c>
      <c r="O711" s="2">
        <f t="shared" si="236"/>
        <v>389.16392733425664</v>
      </c>
      <c r="P711" s="2">
        <f t="shared" si="236"/>
        <v>419.70239577102939</v>
      </c>
      <c r="Q711" s="2">
        <f t="shared" si="236"/>
        <v>443.24653009656163</v>
      </c>
      <c r="R711" s="2">
        <f t="shared" si="236"/>
        <v>459.01179229965777</v>
      </c>
      <c r="S711" s="2">
        <f t="shared" si="236"/>
        <v>467.09311148765767</v>
      </c>
      <c r="T711" s="2">
        <f t="shared" si="236"/>
        <v>467.09311148765767</v>
      </c>
      <c r="U711" s="2">
        <f t="shared" si="236"/>
        <v>459.01179229965777</v>
      </c>
      <c r="V711" s="2">
        <f t="shared" si="236"/>
        <v>443.24653009656163</v>
      </c>
      <c r="W711" s="2">
        <f t="shared" si="236"/>
        <v>419.70239577102939</v>
      </c>
      <c r="X711" s="2">
        <f t="shared" si="236"/>
        <v>389.16392733425664</v>
      </c>
      <c r="Y711" s="2">
        <f t="shared" si="236"/>
        <v>351.73108718254247</v>
      </c>
      <c r="Z711" s="2">
        <f t="shared" si="236"/>
        <v>308.43790248261479</v>
      </c>
      <c r="AA711" s="2">
        <f t="shared" si="236"/>
        <v>259.89902118134938</v>
      </c>
      <c r="AB711" s="2">
        <f t="shared" si="236"/>
        <v>206.77354127794865</v>
      </c>
      <c r="AC711" s="2">
        <f t="shared" si="236"/>
        <v>150.00680326145888</v>
      </c>
      <c r="AD711" s="2">
        <f t="shared" si="236"/>
        <v>90.834482434472207</v>
      </c>
      <c r="AE711" s="2">
        <f t="shared" si="236"/>
        <v>30.059477118454481</v>
      </c>
      <c r="AF711" s="2"/>
    </row>
    <row r="712" spans="1:33">
      <c r="A712" s="20" t="s">
        <v>824</v>
      </c>
      <c r="B712" s="11"/>
      <c r="C712" s="11"/>
      <c r="D712" t="s">
        <v>36</v>
      </c>
      <c r="E712" s="12"/>
      <c r="F712" s="18"/>
      <c r="G712" s="19">
        <f>SUM(H712:AE712)/48</f>
        <v>104.29883543123344</v>
      </c>
      <c r="H712" s="2">
        <f>H$68*$T$20</f>
        <v>21.041633982918135</v>
      </c>
      <c r="I712" s="2">
        <f t="shared" ref="I712:AE712" si="237">I$68*$T$20</f>
        <v>63.584137704130541</v>
      </c>
      <c r="J712" s="2">
        <f t="shared" si="237"/>
        <v>105.00476228302121</v>
      </c>
      <c r="K712" s="2">
        <f t="shared" si="237"/>
        <v>144.74147889456404</v>
      </c>
      <c r="L712" s="2">
        <f t="shared" si="237"/>
        <v>181.92931482694456</v>
      </c>
      <c r="M712" s="2">
        <f t="shared" si="237"/>
        <v>215.90653173783033</v>
      </c>
      <c r="N712" s="2">
        <f t="shared" si="237"/>
        <v>246.21176102777972</v>
      </c>
      <c r="O712" s="2">
        <f t="shared" si="237"/>
        <v>272.41474913397963</v>
      </c>
      <c r="P712" s="2">
        <f t="shared" si="237"/>
        <v>293.79167703972053</v>
      </c>
      <c r="Q712" s="2">
        <f t="shared" si="237"/>
        <v>310.27257106759311</v>
      </c>
      <c r="R712" s="2">
        <f t="shared" si="237"/>
        <v>321.30825460976041</v>
      </c>
      <c r="S712" s="2">
        <f t="shared" si="237"/>
        <v>326.96517804136033</v>
      </c>
      <c r="T712" s="2">
        <f t="shared" si="237"/>
        <v>326.96517804136033</v>
      </c>
      <c r="U712" s="2">
        <f t="shared" si="237"/>
        <v>321.30825460976041</v>
      </c>
      <c r="V712" s="2">
        <f t="shared" si="237"/>
        <v>310.27257106759311</v>
      </c>
      <c r="W712" s="2">
        <f t="shared" si="237"/>
        <v>293.79167703972053</v>
      </c>
      <c r="X712" s="2">
        <f t="shared" si="237"/>
        <v>272.41474913397963</v>
      </c>
      <c r="Y712" s="2">
        <f t="shared" si="237"/>
        <v>246.21176102777972</v>
      </c>
      <c r="Z712" s="2">
        <f t="shared" si="237"/>
        <v>215.90653173783033</v>
      </c>
      <c r="AA712" s="2">
        <f t="shared" si="237"/>
        <v>181.92931482694456</v>
      </c>
      <c r="AB712" s="2">
        <f t="shared" si="237"/>
        <v>144.74147889456404</v>
      </c>
      <c r="AC712" s="2">
        <f t="shared" si="237"/>
        <v>105.00476228302121</v>
      </c>
      <c r="AD712" s="2">
        <f t="shared" si="237"/>
        <v>63.584137704130541</v>
      </c>
      <c r="AE712" s="2">
        <f t="shared" si="237"/>
        <v>21.041633982918135</v>
      </c>
      <c r="AF712" s="2"/>
    </row>
    <row r="713" spans="1:33">
      <c r="A713" s="20"/>
      <c r="B713" s="5" t="s">
        <v>38</v>
      </c>
      <c r="C713" s="11"/>
      <c r="D713" t="s">
        <v>777</v>
      </c>
      <c r="E713" s="12"/>
      <c r="F713" s="18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3">
      <c r="A714" s="20" t="s">
        <v>825</v>
      </c>
      <c r="D714" t="s">
        <v>37</v>
      </c>
      <c r="G714" s="19">
        <f>SUM(H714:AE714)/24</f>
        <v>316.61059493700014</v>
      </c>
      <c r="H714" s="2">
        <f>$T$24</f>
        <v>316.61059493700003</v>
      </c>
      <c r="I714" s="2">
        <f t="shared" ref="I714:AE714" si="238">$T$24</f>
        <v>316.61059493700003</v>
      </c>
      <c r="J714" s="2">
        <f t="shared" si="238"/>
        <v>316.61059493700003</v>
      </c>
      <c r="K714" s="2">
        <f t="shared" si="238"/>
        <v>316.61059493700003</v>
      </c>
      <c r="L714" s="2">
        <f t="shared" si="238"/>
        <v>316.61059493700003</v>
      </c>
      <c r="M714" s="2">
        <f t="shared" si="238"/>
        <v>316.61059493700003</v>
      </c>
      <c r="N714" s="2">
        <f t="shared" si="238"/>
        <v>316.61059493700003</v>
      </c>
      <c r="O714" s="2">
        <f t="shared" si="238"/>
        <v>316.61059493700003</v>
      </c>
      <c r="P714" s="2">
        <f t="shared" si="238"/>
        <v>316.61059493700003</v>
      </c>
      <c r="Q714" s="2">
        <f t="shared" si="238"/>
        <v>316.61059493700003</v>
      </c>
      <c r="R714" s="2">
        <f t="shared" si="238"/>
        <v>316.61059493700003</v>
      </c>
      <c r="S714" s="2">
        <f t="shared" si="238"/>
        <v>316.61059493700003</v>
      </c>
      <c r="T714" s="2">
        <f t="shared" si="238"/>
        <v>316.61059493700003</v>
      </c>
      <c r="U714" s="2">
        <f t="shared" si="238"/>
        <v>316.61059493700003</v>
      </c>
      <c r="V714" s="2">
        <f t="shared" si="238"/>
        <v>316.61059493700003</v>
      </c>
      <c r="W714" s="2">
        <f t="shared" si="238"/>
        <v>316.61059493700003</v>
      </c>
      <c r="X714" s="2">
        <f t="shared" si="238"/>
        <v>316.61059493700003</v>
      </c>
      <c r="Y714" s="2">
        <f t="shared" si="238"/>
        <v>316.61059493700003</v>
      </c>
      <c r="Z714" s="2">
        <f t="shared" si="238"/>
        <v>316.61059493700003</v>
      </c>
      <c r="AA714" s="2">
        <f t="shared" si="238"/>
        <v>316.61059493700003</v>
      </c>
      <c r="AB714" s="2">
        <f t="shared" si="238"/>
        <v>316.61059493700003</v>
      </c>
      <c r="AC714" s="2">
        <f t="shared" si="238"/>
        <v>316.61059493700003</v>
      </c>
      <c r="AD714" s="2">
        <f t="shared" si="238"/>
        <v>316.61059493700003</v>
      </c>
      <c r="AE714" s="2">
        <f t="shared" si="238"/>
        <v>316.61059493700003</v>
      </c>
      <c r="AF714" s="2"/>
    </row>
    <row r="715" spans="1:33">
      <c r="A715" s="20"/>
      <c r="B715" s="16" t="s">
        <v>720</v>
      </c>
      <c r="G715" s="32">
        <f>G712+G714</f>
        <v>420.90943036823359</v>
      </c>
      <c r="H715" s="3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3">
      <c r="A716" s="39" t="s">
        <v>511</v>
      </c>
      <c r="B716" s="16"/>
      <c r="F716" s="12"/>
      <c r="G716" s="32"/>
      <c r="H716" s="3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3">
      <c r="A717" s="3" t="s">
        <v>723</v>
      </c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3" s="27" customFormat="1">
      <c r="A718" s="27" t="s">
        <v>1031</v>
      </c>
      <c r="G718" s="55"/>
      <c r="H718" s="101">
        <f ca="1">Tabelle3!D$36</f>
        <v>0.39309054635400598</v>
      </c>
      <c r="I718" s="101">
        <f ca="1">Tabelle3!E$36</f>
        <v>0.14233803273306531</v>
      </c>
      <c r="J718" s="101">
        <f ca="1">Tabelle3!F$36</f>
        <v>8.9574775768621245E-2</v>
      </c>
      <c r="K718" s="101">
        <f ca="1">Tabelle3!G$36</f>
        <v>6.6029130658018714E-2</v>
      </c>
      <c r="L718" s="101">
        <f ca="1">Tabelle3!H$36</f>
        <v>5.2244864269875568E-2</v>
      </c>
      <c r="M718" s="101">
        <f ca="1">Tabelle3!I$36</f>
        <v>4.4657074928585463E-2</v>
      </c>
      <c r="N718" s="101">
        <f ca="1">Tabelle3!J$36</f>
        <v>3.8614884217985181E-2</v>
      </c>
      <c r="O718" s="101">
        <f ca="1">Tabelle3!K$36</f>
        <v>3.5623622765231303E-2</v>
      </c>
      <c r="P718" s="101">
        <f ca="1">Tabelle3!L$36</f>
        <v>3.3164548932906032E-2</v>
      </c>
      <c r="Q718" s="101">
        <f ca="1">Tabelle3!M$36</f>
        <v>3.125601401826552E-2</v>
      </c>
      <c r="R718" s="101">
        <f ca="1">Tabelle3!N$36</f>
        <v>2.997142321033441E-2</v>
      </c>
      <c r="S718" s="101">
        <f ca="1">Tabelle3!O$36</f>
        <v>2.9310776509112693E-2</v>
      </c>
      <c r="T718" s="101">
        <f ca="1">Tabelle3!P$36</f>
        <v>2.9310776509112693E-2</v>
      </c>
      <c r="U718" s="101">
        <f ca="1">Tabelle3!Q$36</f>
        <v>2.997142321033441E-2</v>
      </c>
      <c r="V718" s="101">
        <f ca="1">Tabelle3!R$36</f>
        <v>3.125601401826552E-2</v>
      </c>
      <c r="W718" s="101">
        <f ca="1">Tabelle3!S$36</f>
        <v>3.3164548932906032E-2</v>
      </c>
      <c r="X718" s="101">
        <f ca="1">Tabelle3!T$36</f>
        <v>3.5623622765231303E-2</v>
      </c>
      <c r="Y718" s="101">
        <f ca="1">Tabelle3!U$36</f>
        <v>3.8614884217985181E-2</v>
      </c>
      <c r="Z718" s="101">
        <f ca="1">Tabelle3!V$36</f>
        <v>4.4657074928585463E-2</v>
      </c>
      <c r="AA718" s="101">
        <f ca="1">Tabelle3!W$36</f>
        <v>5.2244864269875568E-2</v>
      </c>
      <c r="AB718" s="101">
        <f ca="1">Tabelle3!X$36</f>
        <v>6.6029130658018714E-2</v>
      </c>
      <c r="AC718" s="101">
        <f ca="1">Tabelle3!Y$36</f>
        <v>8.9574775768621245E-2</v>
      </c>
      <c r="AD718" s="101">
        <f ca="1">Tabelle3!Z$36</f>
        <v>0.14233803273306531</v>
      </c>
      <c r="AE718" s="101">
        <f ca="1">Tabelle3!AA$36</f>
        <v>0.39309054635400598</v>
      </c>
      <c r="AF718" s="55"/>
    </row>
    <row r="719" spans="1:33" s="27" customFormat="1">
      <c r="A719" s="27" t="s">
        <v>830</v>
      </c>
      <c r="F719" s="10">
        <f ca="1">Tabelle3!J$80</f>
        <v>2.1260406910099214</v>
      </c>
      <c r="H719" s="107">
        <f ca="1">$F$10*$F$142</f>
        <v>2.1260406910099214E-2</v>
      </c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55"/>
    </row>
    <row r="720" spans="1:33" ht="15" customHeight="1">
      <c r="A720" s="3" t="s">
        <v>831</v>
      </c>
      <c r="B720" s="11"/>
      <c r="C720" s="11"/>
      <c r="D720" s="11"/>
      <c r="E720" s="27"/>
      <c r="F720" s="6"/>
      <c r="G720" s="19">
        <f>SUM(H720:AE720)/48</f>
        <v>3.3719680708058317</v>
      </c>
      <c r="H720" s="24">
        <f>H$68*H$718*$F$16</f>
        <v>5.9080481418045068</v>
      </c>
      <c r="I720" s="24">
        <f t="shared" ref="I720:AE720" si="239">I$68*I$718*$F$16</f>
        <v>6.4646007670244749</v>
      </c>
      <c r="J720" s="24">
        <f t="shared" si="239"/>
        <v>6.7184128829564305</v>
      </c>
      <c r="K720" s="24">
        <f t="shared" si="239"/>
        <v>6.8265385868314485</v>
      </c>
      <c r="L720" s="24">
        <f t="shared" si="239"/>
        <v>6.7891945427465572</v>
      </c>
      <c r="M720" s="24">
        <f t="shared" si="239"/>
        <v>6.8869672609909323</v>
      </c>
      <c r="N720" s="24">
        <f t="shared" si="239"/>
        <v>6.7910276037099644</v>
      </c>
      <c r="O720" s="24">
        <f t="shared" si="239"/>
        <v>6.9317144705957228</v>
      </c>
      <c r="P720" s="24">
        <f t="shared" si="239"/>
        <v>6.9596203209030989</v>
      </c>
      <c r="Q720" s="24">
        <f t="shared" si="239"/>
        <v>6.9270598791228402</v>
      </c>
      <c r="R720" s="24">
        <f t="shared" si="239"/>
        <v>6.8786183427735805</v>
      </c>
      <c r="S720" s="24">
        <f t="shared" si="239"/>
        <v>6.8454308998803963</v>
      </c>
      <c r="T720" s="24">
        <f t="shared" si="239"/>
        <v>6.8454308998803963</v>
      </c>
      <c r="U720" s="24">
        <f t="shared" si="239"/>
        <v>6.8786183427735805</v>
      </c>
      <c r="V720" s="24">
        <f t="shared" si="239"/>
        <v>6.9270598791228402</v>
      </c>
      <c r="W720" s="24">
        <f t="shared" si="239"/>
        <v>6.9596203209030989</v>
      </c>
      <c r="X720" s="24">
        <f t="shared" si="239"/>
        <v>6.9317144705957228</v>
      </c>
      <c r="Y720" s="24">
        <f t="shared" si="239"/>
        <v>6.7910276037099644</v>
      </c>
      <c r="Z720" s="24">
        <f t="shared" si="239"/>
        <v>6.8869672609909323</v>
      </c>
      <c r="AA720" s="24">
        <f t="shared" si="239"/>
        <v>6.7891945427465572</v>
      </c>
      <c r="AB720" s="24">
        <f t="shared" si="239"/>
        <v>6.8265385868314485</v>
      </c>
      <c r="AC720" s="24">
        <f t="shared" si="239"/>
        <v>6.7184128829564305</v>
      </c>
      <c r="AD720" s="24">
        <f t="shared" si="239"/>
        <v>6.4646007670244749</v>
      </c>
      <c r="AE720" s="24">
        <f t="shared" si="239"/>
        <v>5.9080481418045068</v>
      </c>
      <c r="AF720" s="28"/>
      <c r="AG720" s="11"/>
    </row>
    <row r="721" spans="1:33">
      <c r="A721" s="3"/>
      <c r="B721" s="5" t="s">
        <v>52</v>
      </c>
      <c r="C721" s="11"/>
      <c r="D721" t="s">
        <v>63</v>
      </c>
      <c r="F721" s="27"/>
      <c r="G721" t="s">
        <v>854</v>
      </c>
      <c r="AF721" s="28"/>
      <c r="AG721" s="11"/>
    </row>
    <row r="722" spans="1:33">
      <c r="A722" s="3"/>
      <c r="C722" s="11"/>
      <c r="D722" s="2" t="s">
        <v>39</v>
      </c>
      <c r="F722" s="27"/>
      <c r="G722" s="2"/>
      <c r="AF722" s="28"/>
      <c r="AG722" s="11"/>
    </row>
    <row r="723" spans="1:33">
      <c r="A723" t="s">
        <v>879</v>
      </c>
      <c r="C723" s="11"/>
      <c r="G723" s="98">
        <f>SUM(H723:AE723)/48</f>
        <v>145.55892889811156</v>
      </c>
      <c r="H723" s="97">
        <f>H$68*(1-($F$16+$F$13)*H$718)</f>
        <v>24.033268013813885</v>
      </c>
      <c r="I723" s="97">
        <f t="shared" ref="I723:AE723" si="240">I$68*(1-($F$16+$F$13)*I$718)</f>
        <v>84.240589652107246</v>
      </c>
      <c r="J723" s="97">
        <f t="shared" si="240"/>
        <v>143.15402212084331</v>
      </c>
      <c r="K723" s="97">
        <f t="shared" si="240"/>
        <v>199.81047191938057</v>
      </c>
      <c r="L723" s="97">
        <f t="shared" si="240"/>
        <v>252.97404274774792</v>
      </c>
      <c r="M723" s="97">
        <f t="shared" si="240"/>
        <v>301.41319587640407</v>
      </c>
      <c r="N723" s="97">
        <f t="shared" si="240"/>
        <v>344.8042390267583</v>
      </c>
      <c r="O723" s="97">
        <f t="shared" si="240"/>
        <v>382.09357857424902</v>
      </c>
      <c r="P723" s="97">
        <f t="shared" si="240"/>
        <v>412.60358304370823</v>
      </c>
      <c r="Q723" s="97">
        <f t="shared" si="240"/>
        <v>436.18092901985631</v>
      </c>
      <c r="R723" s="97">
        <f t="shared" si="240"/>
        <v>451.99560159002874</v>
      </c>
      <c r="S723" s="97">
        <f t="shared" si="240"/>
        <v>460.11077196977971</v>
      </c>
      <c r="T723" s="97">
        <f t="shared" si="240"/>
        <v>460.11077196977971</v>
      </c>
      <c r="U723" s="97">
        <f t="shared" si="240"/>
        <v>451.99560159002874</v>
      </c>
      <c r="V723" s="97">
        <f t="shared" si="240"/>
        <v>436.18092901985631</v>
      </c>
      <c r="W723" s="97">
        <f t="shared" si="240"/>
        <v>412.60358304370823</v>
      </c>
      <c r="X723" s="97">
        <f t="shared" si="240"/>
        <v>382.09357857424902</v>
      </c>
      <c r="Y723" s="97">
        <f t="shared" si="240"/>
        <v>344.8042390267583</v>
      </c>
      <c r="Z723" s="97">
        <f t="shared" si="240"/>
        <v>301.41319587640407</v>
      </c>
      <c r="AA723" s="97">
        <f t="shared" si="240"/>
        <v>252.97404274774792</v>
      </c>
      <c r="AB723" s="97">
        <f t="shared" si="240"/>
        <v>199.81047191938057</v>
      </c>
      <c r="AC723" s="97">
        <f t="shared" si="240"/>
        <v>143.15402212084331</v>
      </c>
      <c r="AD723" s="97">
        <f t="shared" si="240"/>
        <v>84.240589652107246</v>
      </c>
      <c r="AE723" s="97">
        <f t="shared" si="240"/>
        <v>24.033268013813885</v>
      </c>
      <c r="AF723" s="28"/>
      <c r="AG723" s="11"/>
    </row>
    <row r="724" spans="1:33">
      <c r="B724" s="24" t="s">
        <v>53</v>
      </c>
      <c r="D724" s="2" t="s">
        <v>57</v>
      </c>
      <c r="E724" s="24" t="s">
        <v>900</v>
      </c>
      <c r="H724" t="s">
        <v>853</v>
      </c>
      <c r="AF724" s="28"/>
      <c r="AG724" s="11"/>
    </row>
    <row r="725" spans="1:33">
      <c r="A725" t="s">
        <v>832</v>
      </c>
      <c r="C725" s="11"/>
      <c r="D725" s="24"/>
      <c r="G725" s="97">
        <f>SUM(H725:AE725)/48</f>
        <v>101.89125022867808</v>
      </c>
      <c r="H725" s="97">
        <f>H723*$T$20</f>
        <v>16.82328760966972</v>
      </c>
      <c r="I725" s="97">
        <f t="shared" ref="I725:AE725" si="241">I723*$T$20</f>
        <v>58.968412756475068</v>
      </c>
      <c r="J725" s="97">
        <f t="shared" si="241"/>
        <v>100.20781548459031</v>
      </c>
      <c r="K725" s="97">
        <f t="shared" si="241"/>
        <v>139.86733034356638</v>
      </c>
      <c r="L725" s="97">
        <f t="shared" si="241"/>
        <v>177.08182992342353</v>
      </c>
      <c r="M725" s="97">
        <f t="shared" si="241"/>
        <v>210.98923711348283</v>
      </c>
      <c r="N725" s="97">
        <f t="shared" si="241"/>
        <v>241.3629673187308</v>
      </c>
      <c r="O725" s="97">
        <f t="shared" si="241"/>
        <v>267.46550500197429</v>
      </c>
      <c r="P725" s="97">
        <f t="shared" si="241"/>
        <v>288.82250813059574</v>
      </c>
      <c r="Q725" s="97">
        <f t="shared" si="241"/>
        <v>305.32665031389939</v>
      </c>
      <c r="R725" s="97">
        <f t="shared" si="241"/>
        <v>316.39692111302008</v>
      </c>
      <c r="S725" s="97">
        <f t="shared" si="241"/>
        <v>322.07754037884575</v>
      </c>
      <c r="T725" s="97">
        <f t="shared" si="241"/>
        <v>322.07754037884575</v>
      </c>
      <c r="U725" s="97">
        <f t="shared" si="241"/>
        <v>316.39692111302008</v>
      </c>
      <c r="V725" s="97">
        <f t="shared" si="241"/>
        <v>305.32665031389939</v>
      </c>
      <c r="W725" s="97">
        <f t="shared" si="241"/>
        <v>288.82250813059574</v>
      </c>
      <c r="X725" s="97">
        <f t="shared" si="241"/>
        <v>267.46550500197429</v>
      </c>
      <c r="Y725" s="97">
        <f t="shared" si="241"/>
        <v>241.3629673187308</v>
      </c>
      <c r="Z725" s="97">
        <f t="shared" si="241"/>
        <v>210.98923711348283</v>
      </c>
      <c r="AA725" s="97">
        <f t="shared" si="241"/>
        <v>177.08182992342353</v>
      </c>
      <c r="AB725" s="97">
        <f t="shared" si="241"/>
        <v>139.86733034356638</v>
      </c>
      <c r="AC725" s="97">
        <f t="shared" si="241"/>
        <v>100.20781548459031</v>
      </c>
      <c r="AD725" s="97">
        <f t="shared" si="241"/>
        <v>58.968412756475068</v>
      </c>
      <c r="AE725" s="97">
        <f t="shared" si="241"/>
        <v>16.82328760966972</v>
      </c>
      <c r="AF725" s="28"/>
      <c r="AG725" s="11"/>
    </row>
    <row r="726" spans="1:33">
      <c r="B726" s="24" t="s">
        <v>912</v>
      </c>
      <c r="C726" s="14" t="s">
        <v>65</v>
      </c>
      <c r="D726" s="24" t="s">
        <v>70</v>
      </c>
      <c r="AF726" s="28"/>
      <c r="AG726" s="11"/>
    </row>
    <row r="727" spans="1:33">
      <c r="A727" s="20" t="s">
        <v>833</v>
      </c>
      <c r="B727" s="11"/>
      <c r="C727" s="11"/>
      <c r="D727" s="11"/>
      <c r="E727" s="27"/>
      <c r="F727" s="6"/>
      <c r="G727" s="19">
        <f>SUM(H727:AE727)/48</f>
        <v>100.78646301405344</v>
      </c>
      <c r="H727" s="24">
        <f>H725*(1-($F$16+$F$13)*$H$719)</f>
        <v>16.640875940194643</v>
      </c>
      <c r="I727" s="24">
        <f t="shared" ref="I727:AE727" si="242">I725*(1-($F$16+$F$13)*$H$719)</f>
        <v>58.329029606951941</v>
      </c>
      <c r="J727" s="24">
        <f t="shared" si="242"/>
        <v>99.121281428875307</v>
      </c>
      <c r="K727" s="24">
        <f t="shared" si="242"/>
        <v>138.3507758017343</v>
      </c>
      <c r="L727" s="24">
        <f t="shared" si="242"/>
        <v>175.16176572553948</v>
      </c>
      <c r="M727" s="24">
        <f t="shared" si="242"/>
        <v>208.70152142579397</v>
      </c>
      <c r="N727" s="24">
        <f t="shared" si="242"/>
        <v>238.74591512063594</v>
      </c>
      <c r="O727" s="24">
        <f t="shared" si="242"/>
        <v>264.56542801188817</v>
      </c>
      <c r="P727" s="24">
        <f t="shared" si="242"/>
        <v>285.69086126629327</v>
      </c>
      <c r="Q727" s="24">
        <f t="shared" si="242"/>
        <v>302.01605221255215</v>
      </c>
      <c r="R727" s="24">
        <f t="shared" si="242"/>
        <v>312.96629019615773</v>
      </c>
      <c r="S727" s="24">
        <f t="shared" si="242"/>
        <v>318.58531560066609</v>
      </c>
      <c r="T727" s="24">
        <f t="shared" si="242"/>
        <v>318.58531560066609</v>
      </c>
      <c r="U727" s="24">
        <f t="shared" si="242"/>
        <v>312.96629019615773</v>
      </c>
      <c r="V727" s="24">
        <f t="shared" si="242"/>
        <v>302.01605221255215</v>
      </c>
      <c r="W727" s="24">
        <f t="shared" si="242"/>
        <v>285.69086126629327</v>
      </c>
      <c r="X727" s="24">
        <f t="shared" si="242"/>
        <v>264.56542801188817</v>
      </c>
      <c r="Y727" s="24">
        <f t="shared" si="242"/>
        <v>238.74591512063594</v>
      </c>
      <c r="Z727" s="24">
        <f t="shared" si="242"/>
        <v>208.70152142579397</v>
      </c>
      <c r="AA727" s="24">
        <f t="shared" si="242"/>
        <v>175.16176572553948</v>
      </c>
      <c r="AB727" s="24">
        <f t="shared" si="242"/>
        <v>138.3507758017343</v>
      </c>
      <c r="AC727" s="24">
        <f t="shared" si="242"/>
        <v>99.121281428875307</v>
      </c>
      <c r="AD727" s="24">
        <f t="shared" si="242"/>
        <v>58.329029606951941</v>
      </c>
      <c r="AE727" s="24">
        <f t="shared" si="242"/>
        <v>16.640875940194643</v>
      </c>
      <c r="AF727" s="28"/>
      <c r="AG727" s="11"/>
    </row>
    <row r="728" spans="1:33">
      <c r="A728" s="20"/>
      <c r="B728" s="24" t="s">
        <v>71</v>
      </c>
      <c r="C728" s="11"/>
      <c r="D728" t="s">
        <v>42</v>
      </c>
      <c r="G728" s="27"/>
      <c r="H728" s="24" t="s">
        <v>900</v>
      </c>
      <c r="K728" t="s">
        <v>853</v>
      </c>
      <c r="M728" s="28"/>
      <c r="O728" s="28"/>
      <c r="P728" s="28"/>
      <c r="Q728" s="11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11"/>
    </row>
    <row r="729" spans="1:33">
      <c r="A729" t="s">
        <v>834</v>
      </c>
      <c r="B729" s="5"/>
      <c r="C729" s="11"/>
      <c r="D729" s="5" t="s">
        <v>58</v>
      </c>
      <c r="F729" t="s">
        <v>74</v>
      </c>
      <c r="G729" s="97">
        <f>SUM(H729:AE729)/48</f>
        <v>1.0831247202202181</v>
      </c>
      <c r="H729" s="97">
        <f>H725*$H$719*$F$16</f>
        <v>0.1788349700736043</v>
      </c>
      <c r="I729" s="97">
        <f t="shared" ref="I729:AE729" si="243">I725*$H$719*$F$16</f>
        <v>0.62684622502267262</v>
      </c>
      <c r="J729" s="97">
        <f t="shared" si="243"/>
        <v>1.0652294663872655</v>
      </c>
      <c r="K729" s="97">
        <f t="shared" si="243"/>
        <v>1.486818178266744</v>
      </c>
      <c r="L729" s="97">
        <f t="shared" si="243"/>
        <v>1.8824158802784836</v>
      </c>
      <c r="M729" s="97">
        <f t="shared" si="243"/>
        <v>2.2428585173420261</v>
      </c>
      <c r="N729" s="97">
        <f t="shared" si="243"/>
        <v>2.5657374491125973</v>
      </c>
      <c r="O729" s="97">
        <f t="shared" si="243"/>
        <v>2.8432127353785752</v>
      </c>
      <c r="P729" s="97">
        <f t="shared" si="243"/>
        <v>3.0702420238259518</v>
      </c>
      <c r="Q729" s="97">
        <f t="shared" si="243"/>
        <v>3.2456844130855367</v>
      </c>
      <c r="R729" s="97">
        <f t="shared" si="243"/>
        <v>3.3633636439826842</v>
      </c>
      <c r="S729" s="97">
        <f t="shared" si="243"/>
        <v>3.4237497825290855</v>
      </c>
      <c r="T729" s="97">
        <f t="shared" si="243"/>
        <v>3.4237497825290855</v>
      </c>
      <c r="U729" s="97">
        <f t="shared" si="243"/>
        <v>3.3633636439826842</v>
      </c>
      <c r="V729" s="97">
        <f t="shared" si="243"/>
        <v>3.2456844130855367</v>
      </c>
      <c r="W729" s="97">
        <f t="shared" si="243"/>
        <v>3.0702420238259518</v>
      </c>
      <c r="X729" s="97">
        <f t="shared" si="243"/>
        <v>2.8432127353785752</v>
      </c>
      <c r="Y729" s="97">
        <f t="shared" si="243"/>
        <v>2.5657374491125973</v>
      </c>
      <c r="Z729" s="97">
        <f t="shared" si="243"/>
        <v>2.2428585173420261</v>
      </c>
      <c r="AA729" s="97">
        <f t="shared" si="243"/>
        <v>1.8824158802784836</v>
      </c>
      <c r="AB729" s="97">
        <f t="shared" si="243"/>
        <v>1.486818178266744</v>
      </c>
      <c r="AC729" s="97">
        <f t="shared" si="243"/>
        <v>1.0652294663872655</v>
      </c>
      <c r="AD729" s="97">
        <f t="shared" si="243"/>
        <v>0.62684622502267262</v>
      </c>
      <c r="AE729" s="97">
        <f t="shared" si="243"/>
        <v>0.1788349700736043</v>
      </c>
      <c r="AF729" s="28"/>
      <c r="AG729" s="11"/>
    </row>
    <row r="730" spans="1:33">
      <c r="A730" t="s">
        <v>909</v>
      </c>
      <c r="B730" s="5"/>
      <c r="C730" s="11"/>
      <c r="D730" s="5" t="s">
        <v>75</v>
      </c>
      <c r="G730" s="97">
        <f>SUM(H730:AE730)/48</f>
        <v>0.75818730415415236</v>
      </c>
      <c r="H730" s="97">
        <f>H729*$T$20</f>
        <v>0.125184479051523</v>
      </c>
      <c r="I730" s="97">
        <f t="shared" ref="I730:AE730" si="244">I729*$T$20</f>
        <v>0.43879235751587081</v>
      </c>
      <c r="J730" s="97">
        <f t="shared" si="244"/>
        <v>0.74566062647108577</v>
      </c>
      <c r="K730" s="97">
        <f t="shared" si="244"/>
        <v>1.0407727247867207</v>
      </c>
      <c r="L730" s="97">
        <f t="shared" si="244"/>
        <v>1.3176911161949385</v>
      </c>
      <c r="M730" s="97">
        <f t="shared" si="244"/>
        <v>1.5700009621394182</v>
      </c>
      <c r="N730" s="97">
        <f t="shared" si="244"/>
        <v>1.7960162143788179</v>
      </c>
      <c r="O730" s="97">
        <f t="shared" si="244"/>
        <v>1.9902489147650024</v>
      </c>
      <c r="P730" s="97">
        <f t="shared" si="244"/>
        <v>2.1491694166781663</v>
      </c>
      <c r="Q730" s="97">
        <f t="shared" si="244"/>
        <v>2.2719790891598755</v>
      </c>
      <c r="R730" s="97">
        <f t="shared" si="244"/>
        <v>2.3543545507878787</v>
      </c>
      <c r="S730" s="97">
        <f t="shared" si="244"/>
        <v>2.3966248477703598</v>
      </c>
      <c r="T730" s="97">
        <f t="shared" si="244"/>
        <v>2.3966248477703598</v>
      </c>
      <c r="U730" s="97">
        <f t="shared" si="244"/>
        <v>2.3543545507878787</v>
      </c>
      <c r="V730" s="97">
        <f t="shared" si="244"/>
        <v>2.2719790891598755</v>
      </c>
      <c r="W730" s="97">
        <f t="shared" si="244"/>
        <v>2.1491694166781663</v>
      </c>
      <c r="X730" s="97">
        <f t="shared" si="244"/>
        <v>1.9902489147650024</v>
      </c>
      <c r="Y730" s="97">
        <f t="shared" si="244"/>
        <v>1.7960162143788179</v>
      </c>
      <c r="Z730" s="97">
        <f t="shared" si="244"/>
        <v>1.5700009621394182</v>
      </c>
      <c r="AA730" s="97">
        <f t="shared" si="244"/>
        <v>1.3176911161949385</v>
      </c>
      <c r="AB730" s="97">
        <f t="shared" si="244"/>
        <v>1.0407727247867207</v>
      </c>
      <c r="AC730" s="97">
        <f t="shared" si="244"/>
        <v>0.74566062647108577</v>
      </c>
      <c r="AD730" s="97">
        <f t="shared" si="244"/>
        <v>0.43879235751587081</v>
      </c>
      <c r="AE730" s="97">
        <f t="shared" si="244"/>
        <v>0.125184479051523</v>
      </c>
      <c r="AF730" s="28"/>
      <c r="AG730" s="11"/>
    </row>
    <row r="731" spans="1:33">
      <c r="A731" s="20" t="s">
        <v>835</v>
      </c>
      <c r="B731" s="5"/>
      <c r="C731" s="11"/>
      <c r="G731" s="19">
        <f>SUM(H731:AE731)/48</f>
        <v>0.74996642514795431</v>
      </c>
      <c r="H731" s="24">
        <f>H730*(1-($F$16+$F$13)*$H$719)</f>
        <v>0.12382712784015627</v>
      </c>
      <c r="I731" s="24">
        <f t="shared" ref="I731:AE731" si="245">I730*(1-($F$16+$F$13)*$H$719)</f>
        <v>0.43403461644025798</v>
      </c>
      <c r="J731" s="24">
        <f t="shared" si="245"/>
        <v>0.73757557181992228</v>
      </c>
      <c r="K731" s="24">
        <f t="shared" si="245"/>
        <v>1.0294878264554725</v>
      </c>
      <c r="L731" s="24">
        <f t="shared" si="245"/>
        <v>1.3034036450457536</v>
      </c>
      <c r="M731" s="24">
        <f t="shared" si="245"/>
        <v>1.5529777438942094</v>
      </c>
      <c r="N731" s="24">
        <f t="shared" si="245"/>
        <v>1.7765423562560547</v>
      </c>
      <c r="O731" s="24">
        <f t="shared" si="245"/>
        <v>1.9686690288570559</v>
      </c>
      <c r="P731" s="24">
        <f t="shared" si="245"/>
        <v>2.1258663863563338</v>
      </c>
      <c r="Q731" s="24">
        <f t="shared" si="245"/>
        <v>2.2473444571972201</v>
      </c>
      <c r="R731" s="24">
        <f t="shared" si="245"/>
        <v>2.3288267375500777</v>
      </c>
      <c r="S731" s="24">
        <f t="shared" si="245"/>
        <v>2.3706387058383891</v>
      </c>
      <c r="T731" s="24">
        <f t="shared" si="245"/>
        <v>2.3706387058383891</v>
      </c>
      <c r="U731" s="24">
        <f t="shared" si="245"/>
        <v>2.3288267375500777</v>
      </c>
      <c r="V731" s="24">
        <f t="shared" si="245"/>
        <v>2.2473444571972201</v>
      </c>
      <c r="W731" s="24">
        <f t="shared" si="245"/>
        <v>2.1258663863563338</v>
      </c>
      <c r="X731" s="24">
        <f t="shared" si="245"/>
        <v>1.9686690288570559</v>
      </c>
      <c r="Y731" s="24">
        <f t="shared" si="245"/>
        <v>1.7765423562560547</v>
      </c>
      <c r="Z731" s="24">
        <f t="shared" si="245"/>
        <v>1.5529777438942094</v>
      </c>
      <c r="AA731" s="24">
        <f t="shared" si="245"/>
        <v>1.3034036450457536</v>
      </c>
      <c r="AB731" s="24">
        <f t="shared" si="245"/>
        <v>1.0294878264554725</v>
      </c>
      <c r="AC731" s="24">
        <f t="shared" si="245"/>
        <v>0.73757557181992228</v>
      </c>
      <c r="AD731" s="24">
        <f t="shared" si="245"/>
        <v>0.43403461644025798</v>
      </c>
      <c r="AE731" s="24">
        <f t="shared" si="245"/>
        <v>0.12382712784015627</v>
      </c>
      <c r="AF731" s="28"/>
      <c r="AG731" s="11"/>
    </row>
    <row r="732" spans="1:33">
      <c r="A732" s="20"/>
      <c r="B732" s="24" t="s">
        <v>76</v>
      </c>
      <c r="C732" s="11"/>
      <c r="D732" t="s">
        <v>42</v>
      </c>
      <c r="G732" s="27"/>
      <c r="H732" s="24" t="s">
        <v>900</v>
      </c>
      <c r="K732" t="s">
        <v>853</v>
      </c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8"/>
      <c r="AG732" s="11"/>
    </row>
    <row r="733" spans="1:33">
      <c r="A733" s="100" t="s">
        <v>836</v>
      </c>
      <c r="B733" s="5"/>
      <c r="C733" s="11"/>
      <c r="G733" s="19">
        <f>SUM(H733:AE733)/48</f>
        <v>5.580606978645289E-3</v>
      </c>
      <c r="H733" s="2">
        <f>H731^2/H727</f>
        <v>9.2141529353670891E-4</v>
      </c>
      <c r="I733" s="2">
        <f t="shared" ref="I733:AE733" si="246">I731^2/I727</f>
        <v>3.2297133955060532E-3</v>
      </c>
      <c r="J733" s="2">
        <f t="shared" si="246"/>
        <v>5.4884048743442286E-3</v>
      </c>
      <c r="K733" s="2">
        <f t="shared" si="246"/>
        <v>7.6605655348029314E-3</v>
      </c>
      <c r="L733" s="2">
        <f t="shared" si="246"/>
        <v>9.6988121516227328E-3</v>
      </c>
      <c r="M733" s="2">
        <f t="shared" si="246"/>
        <v>1.1555928565131558E-2</v>
      </c>
      <c r="N733" s="2">
        <f t="shared" si="246"/>
        <v>1.3219504685460556E-2</v>
      </c>
      <c r="O733" s="2">
        <f t="shared" si="246"/>
        <v>1.4649146618683799E-2</v>
      </c>
      <c r="P733" s="2">
        <f t="shared" si="246"/>
        <v>1.5818874543653244E-2</v>
      </c>
      <c r="Q733" s="2">
        <f t="shared" si="246"/>
        <v>1.672281016950913E-2</v>
      </c>
      <c r="R733" s="2">
        <f t="shared" si="246"/>
        <v>1.7329131422201719E-2</v>
      </c>
      <c r="S733" s="2">
        <f t="shared" si="246"/>
        <v>1.7640260233034302E-2</v>
      </c>
      <c r="T733" s="2">
        <f t="shared" si="246"/>
        <v>1.7640260233034302E-2</v>
      </c>
      <c r="U733" s="2">
        <f t="shared" si="246"/>
        <v>1.7329131422201719E-2</v>
      </c>
      <c r="V733" s="2">
        <f t="shared" si="246"/>
        <v>1.672281016950913E-2</v>
      </c>
      <c r="W733" s="2">
        <f t="shared" si="246"/>
        <v>1.5818874543653244E-2</v>
      </c>
      <c r="X733" s="2">
        <f t="shared" si="246"/>
        <v>1.4649146618683799E-2</v>
      </c>
      <c r="Y733" s="2">
        <f t="shared" si="246"/>
        <v>1.3219504685460556E-2</v>
      </c>
      <c r="Z733" s="2">
        <f t="shared" si="246"/>
        <v>1.1555928565131558E-2</v>
      </c>
      <c r="AA733" s="2">
        <f t="shared" si="246"/>
        <v>9.6988121516227328E-3</v>
      </c>
      <c r="AB733" s="2">
        <f t="shared" si="246"/>
        <v>7.6605655348029314E-3</v>
      </c>
      <c r="AC733" s="2">
        <f t="shared" si="246"/>
        <v>5.4884048743442286E-3</v>
      </c>
      <c r="AD733" s="2">
        <f t="shared" si="246"/>
        <v>3.2297133955060532E-3</v>
      </c>
      <c r="AE733" s="2">
        <f t="shared" si="246"/>
        <v>9.2141529353670891E-4</v>
      </c>
      <c r="AF733" s="28"/>
      <c r="AG733" s="11"/>
    </row>
    <row r="734" spans="1:33">
      <c r="A734" s="100"/>
      <c r="B734" s="24" t="s">
        <v>77</v>
      </c>
      <c r="C734" s="11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8"/>
      <c r="AG734" s="11"/>
    </row>
    <row r="735" spans="1:33">
      <c r="A735" s="20" t="s">
        <v>837</v>
      </c>
      <c r="B735" s="11"/>
      <c r="C735" s="11"/>
      <c r="D735" s="11"/>
      <c r="E735" s="27"/>
      <c r="F735" s="6"/>
      <c r="G735" s="19">
        <f>SUM(H735:AE735)/24</f>
        <v>310.0139502581988</v>
      </c>
      <c r="H735" s="24">
        <f>$T$24*(1-$H$719*(1-$F$14))</f>
        <v>310.01395025819897</v>
      </c>
      <c r="I735" s="24">
        <f t="shared" ref="I735:AE735" si="247">$T$24*(1-$H$719*(1-$F$14))</f>
        <v>310.01395025819897</v>
      </c>
      <c r="J735" s="24">
        <f t="shared" si="247"/>
        <v>310.01395025819897</v>
      </c>
      <c r="K735" s="24">
        <f t="shared" si="247"/>
        <v>310.01395025819897</v>
      </c>
      <c r="L735" s="24">
        <f t="shared" si="247"/>
        <v>310.01395025819897</v>
      </c>
      <c r="M735" s="24">
        <f t="shared" si="247"/>
        <v>310.01395025819897</v>
      </c>
      <c r="N735" s="24">
        <f t="shared" si="247"/>
        <v>310.01395025819897</v>
      </c>
      <c r="O735" s="24">
        <f t="shared" si="247"/>
        <v>310.01395025819897</v>
      </c>
      <c r="P735" s="24">
        <f t="shared" si="247"/>
        <v>310.01395025819897</v>
      </c>
      <c r="Q735" s="24">
        <f t="shared" si="247"/>
        <v>310.01395025819897</v>
      </c>
      <c r="R735" s="24">
        <f t="shared" si="247"/>
        <v>310.01395025819897</v>
      </c>
      <c r="S735" s="24">
        <f t="shared" si="247"/>
        <v>310.01395025819897</v>
      </c>
      <c r="T735" s="24">
        <f t="shared" si="247"/>
        <v>310.01395025819897</v>
      </c>
      <c r="U735" s="24">
        <f t="shared" si="247"/>
        <v>310.01395025819897</v>
      </c>
      <c r="V735" s="24">
        <f t="shared" si="247"/>
        <v>310.01395025819897</v>
      </c>
      <c r="W735" s="24">
        <f t="shared" si="247"/>
        <v>310.01395025819897</v>
      </c>
      <c r="X735" s="24">
        <f t="shared" si="247"/>
        <v>310.01395025819897</v>
      </c>
      <c r="Y735" s="24">
        <f t="shared" si="247"/>
        <v>310.01395025819897</v>
      </c>
      <c r="Z735" s="24">
        <f t="shared" si="247"/>
        <v>310.01395025819897</v>
      </c>
      <c r="AA735" s="24">
        <f t="shared" si="247"/>
        <v>310.01395025819897</v>
      </c>
      <c r="AB735" s="24">
        <f t="shared" si="247"/>
        <v>310.01395025819897</v>
      </c>
      <c r="AC735" s="24">
        <f t="shared" si="247"/>
        <v>310.01395025819897</v>
      </c>
      <c r="AD735" s="24">
        <f t="shared" si="247"/>
        <v>310.01395025819897</v>
      </c>
      <c r="AE735" s="24">
        <f t="shared" si="247"/>
        <v>310.01395025819897</v>
      </c>
      <c r="AF735" s="28"/>
      <c r="AG735" s="11"/>
    </row>
    <row r="736" spans="1:33">
      <c r="A736" s="20"/>
      <c r="B736" s="5" t="s">
        <v>66</v>
      </c>
      <c r="C736" s="11"/>
      <c r="D736" t="s">
        <v>78</v>
      </c>
      <c r="E736" s="2"/>
      <c r="G736" t="s">
        <v>43</v>
      </c>
      <c r="I736" s="11"/>
      <c r="J736" s="28"/>
      <c r="K736" s="2" t="s">
        <v>844</v>
      </c>
      <c r="L736" s="12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11"/>
    </row>
    <row r="737" spans="1:33">
      <c r="A737" s="12" t="s">
        <v>573</v>
      </c>
      <c r="B737" t="s">
        <v>839</v>
      </c>
      <c r="E737" s="12"/>
      <c r="F737" s="6"/>
      <c r="G737" s="32"/>
      <c r="H737" s="3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3">
      <c r="A738" s="11"/>
      <c r="B738" s="14" t="s">
        <v>870</v>
      </c>
      <c r="E738" s="12"/>
      <c r="F738" s="6"/>
      <c r="G738" s="32"/>
      <c r="H738" s="3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3">
      <c r="A739" s="11"/>
      <c r="B739" s="14" t="s">
        <v>845</v>
      </c>
      <c r="E739" s="12"/>
      <c r="F739" s="6"/>
      <c r="G739" s="32"/>
      <c r="H739" s="3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3">
      <c r="A740" s="11"/>
      <c r="B740" s="14" t="s">
        <v>842</v>
      </c>
      <c r="E740" s="12"/>
      <c r="F740" s="6"/>
      <c r="G740" s="32"/>
      <c r="H740" s="3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3">
      <c r="A741" s="20" t="s">
        <v>914</v>
      </c>
      <c r="B741" s="11"/>
      <c r="C741" s="11"/>
      <c r="D741" s="11"/>
      <c r="E741" s="27"/>
      <c r="F741" s="6"/>
      <c r="G741" s="19">
        <f>SUM(H741:AE741)/24</f>
        <v>2.5618512323568008</v>
      </c>
      <c r="H741" s="24">
        <f t="shared" ref="H741:AE741" si="248">$M$9*($F$9+273)^4*$F$10*$F$18</f>
        <v>2.5618512323567995</v>
      </c>
      <c r="I741" s="24">
        <f t="shared" si="248"/>
        <v>2.5618512323567995</v>
      </c>
      <c r="J741" s="24">
        <f t="shared" si="248"/>
        <v>2.5618512323567995</v>
      </c>
      <c r="K741" s="24">
        <f t="shared" si="248"/>
        <v>2.5618512323567995</v>
      </c>
      <c r="L741" s="24">
        <f t="shared" si="248"/>
        <v>2.5618512323567995</v>
      </c>
      <c r="M741" s="24">
        <f t="shared" si="248"/>
        <v>2.5618512323567995</v>
      </c>
      <c r="N741" s="24">
        <f t="shared" si="248"/>
        <v>2.5618512323567995</v>
      </c>
      <c r="O741" s="24">
        <f t="shared" si="248"/>
        <v>2.5618512323567995</v>
      </c>
      <c r="P741" s="24">
        <f t="shared" si="248"/>
        <v>2.5618512323567995</v>
      </c>
      <c r="Q741" s="24">
        <f t="shared" si="248"/>
        <v>2.5618512323567995</v>
      </c>
      <c r="R741" s="24">
        <f t="shared" si="248"/>
        <v>2.5618512323567995</v>
      </c>
      <c r="S741" s="24">
        <f t="shared" si="248"/>
        <v>2.5618512323567995</v>
      </c>
      <c r="T741" s="24">
        <f t="shared" si="248"/>
        <v>2.5618512323567995</v>
      </c>
      <c r="U741" s="24">
        <f t="shared" si="248"/>
        <v>2.5618512323567995</v>
      </c>
      <c r="V741" s="24">
        <f t="shared" si="248"/>
        <v>2.5618512323567995</v>
      </c>
      <c r="W741" s="24">
        <f t="shared" si="248"/>
        <v>2.5618512323567995</v>
      </c>
      <c r="X741" s="24">
        <f t="shared" si="248"/>
        <v>2.5618512323567995</v>
      </c>
      <c r="Y741" s="24">
        <f t="shared" si="248"/>
        <v>2.5618512323567995</v>
      </c>
      <c r="Z741" s="24">
        <f t="shared" si="248"/>
        <v>2.5618512323567995</v>
      </c>
      <c r="AA741" s="24">
        <f t="shared" si="248"/>
        <v>2.5618512323567995</v>
      </c>
      <c r="AB741" s="24">
        <f t="shared" si="248"/>
        <v>2.5618512323567995</v>
      </c>
      <c r="AC741" s="24">
        <f t="shared" si="248"/>
        <v>2.5618512323567995</v>
      </c>
      <c r="AD741" s="24">
        <f t="shared" si="248"/>
        <v>2.5618512323567995</v>
      </c>
      <c r="AE741" s="24">
        <f t="shared" si="248"/>
        <v>2.5618512323567995</v>
      </c>
      <c r="AF741" s="28"/>
      <c r="AG741" s="11"/>
    </row>
    <row r="742" spans="1:33">
      <c r="A742" s="20"/>
      <c r="B742" s="5" t="s">
        <v>923</v>
      </c>
      <c r="C742" s="11"/>
      <c r="D742" t="s">
        <v>743</v>
      </c>
      <c r="E742" s="27"/>
      <c r="F742" s="6"/>
      <c r="G742" s="28"/>
      <c r="H742" t="s">
        <v>717</v>
      </c>
      <c r="I742" s="29"/>
      <c r="J742" s="11"/>
      <c r="K742" s="2" t="s">
        <v>719</v>
      </c>
      <c r="L742" s="11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11"/>
    </row>
    <row r="743" spans="1:33">
      <c r="A743" s="20"/>
      <c r="B743" s="27" t="s">
        <v>925</v>
      </c>
      <c r="C743" s="11" t="s">
        <v>924</v>
      </c>
      <c r="E743" s="27"/>
      <c r="F743" s="6"/>
      <c r="G743" s="28"/>
      <c r="I743" s="29"/>
      <c r="J743" s="11"/>
      <c r="K743" s="2"/>
      <c r="L743" s="11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11"/>
    </row>
    <row r="744" spans="1:33">
      <c r="A744" s="20"/>
      <c r="B744" s="14"/>
      <c r="C744" t="s">
        <v>926</v>
      </c>
      <c r="E744" s="27"/>
      <c r="F744" s="6"/>
      <c r="G744" s="28"/>
      <c r="I744" s="29"/>
      <c r="J744" s="11"/>
      <c r="K744" s="2"/>
      <c r="L744" s="11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11"/>
    </row>
    <row r="745" spans="1:33">
      <c r="A745" s="20"/>
      <c r="B745" s="16" t="s">
        <v>740</v>
      </c>
      <c r="C745" s="11"/>
      <c r="D745" s="11"/>
      <c r="E745" s="27"/>
      <c r="F745" s="6"/>
      <c r="G745" s="32">
        <f>G720+G727+G731+G733+G735+G741</f>
        <v>417.48977960754149</v>
      </c>
      <c r="H745" s="33"/>
      <c r="I745" s="29"/>
      <c r="J745" s="28"/>
      <c r="K745" s="11"/>
      <c r="L745" s="11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11"/>
    </row>
    <row r="746" spans="1:33">
      <c r="A746" s="20"/>
      <c r="B746" s="16" t="s">
        <v>721</v>
      </c>
      <c r="G746" s="32">
        <f>G715-G745</f>
        <v>3.4196507606920932</v>
      </c>
      <c r="H746" s="33"/>
      <c r="I746" s="8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3">
      <c r="A747" s="39" t="s">
        <v>511</v>
      </c>
      <c r="B747" s="16"/>
      <c r="G747" s="32"/>
      <c r="H747" s="3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3">
      <c r="A748" s="3" t="s">
        <v>771</v>
      </c>
      <c r="G748" t="s">
        <v>535</v>
      </c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3">
      <c r="A749" s="20" t="s">
        <v>873</v>
      </c>
      <c r="B749" s="11"/>
      <c r="C749" s="11"/>
      <c r="D749" s="11"/>
      <c r="E749" s="14" t="s">
        <v>563</v>
      </c>
      <c r="F749" s="31">
        <f>$F$15</f>
        <v>0.7</v>
      </c>
      <c r="G749" s="19">
        <f>SUM(H749:AE749)/48</f>
        <v>71.273702463404234</v>
      </c>
      <c r="H749" s="2">
        <f>H$68*H$27*$F$15</f>
        <v>0</v>
      </c>
      <c r="I749" s="2">
        <f t="shared" ref="I749:AE749" si="249">I$68*I$27*$F$15</f>
        <v>0</v>
      </c>
      <c r="J749" s="2">
        <f t="shared" si="249"/>
        <v>0</v>
      </c>
      <c r="K749" s="2">
        <f t="shared" si="249"/>
        <v>0</v>
      </c>
      <c r="L749" s="2">
        <f t="shared" si="249"/>
        <v>0</v>
      </c>
      <c r="M749" s="2">
        <f t="shared" si="249"/>
        <v>0</v>
      </c>
      <c r="N749" s="2">
        <f t="shared" si="249"/>
        <v>0</v>
      </c>
      <c r="O749" s="2">
        <f t="shared" si="249"/>
        <v>0</v>
      </c>
      <c r="P749" s="2">
        <f t="shared" si="249"/>
        <v>293.79167703972053</v>
      </c>
      <c r="Q749" s="2">
        <f t="shared" si="249"/>
        <v>310.27257106759311</v>
      </c>
      <c r="R749" s="2">
        <f t="shared" si="249"/>
        <v>321.30825460976041</v>
      </c>
      <c r="S749" s="2">
        <f t="shared" si="249"/>
        <v>326.96517804136033</v>
      </c>
      <c r="T749" s="2">
        <f t="shared" si="249"/>
        <v>326.96517804136033</v>
      </c>
      <c r="U749" s="2">
        <f t="shared" si="249"/>
        <v>321.30825460976041</v>
      </c>
      <c r="V749" s="2">
        <f t="shared" si="249"/>
        <v>310.27257106759311</v>
      </c>
      <c r="W749" s="2">
        <f t="shared" si="249"/>
        <v>293.79167703972053</v>
      </c>
      <c r="X749" s="2">
        <f t="shared" si="249"/>
        <v>272.41474913397963</v>
      </c>
      <c r="Y749" s="2">
        <f t="shared" si="249"/>
        <v>246.21176102777972</v>
      </c>
      <c r="Z749" s="2">
        <f t="shared" si="249"/>
        <v>215.90653173783033</v>
      </c>
      <c r="AA749" s="2">
        <f t="shared" si="249"/>
        <v>181.92931482694456</v>
      </c>
      <c r="AB749" s="2">
        <f t="shared" si="249"/>
        <v>0</v>
      </c>
      <c r="AC749" s="2">
        <f t="shared" si="249"/>
        <v>0</v>
      </c>
      <c r="AD749" s="2">
        <f t="shared" si="249"/>
        <v>0</v>
      </c>
      <c r="AE749" s="2">
        <f t="shared" si="249"/>
        <v>0</v>
      </c>
      <c r="AF749" s="2"/>
    </row>
    <row r="750" spans="1:33">
      <c r="A750" s="5"/>
      <c r="B750" s="5" t="s">
        <v>54</v>
      </c>
      <c r="C750" s="11"/>
      <c r="D750" t="s">
        <v>79</v>
      </c>
      <c r="E750" s="12"/>
      <c r="F750" s="18"/>
      <c r="G750" s="19"/>
      <c r="H750" s="2" t="s">
        <v>860</v>
      </c>
      <c r="I750" s="2"/>
      <c r="J750" s="2" t="s">
        <v>861</v>
      </c>
      <c r="K750" s="26"/>
      <c r="L750" s="2"/>
      <c r="M750" s="2"/>
      <c r="N750" s="2"/>
      <c r="O750" s="26"/>
      <c r="P750" s="2"/>
      <c r="Q750" s="2"/>
      <c r="R750" s="26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3">
      <c r="A751" s="20" t="s">
        <v>874</v>
      </c>
      <c r="G751" s="19">
        <f>SUM(H751:AE751)/48</f>
        <v>33.203317223987717</v>
      </c>
      <c r="H751" s="2">
        <f>H$68*$T$20*H$28^2</f>
        <v>21.041633982918135</v>
      </c>
      <c r="I751" s="2">
        <f t="shared" ref="I751:AE751" si="250">I$68*$T$20*I$28^2</f>
        <v>63.584137704130541</v>
      </c>
      <c r="J751" s="2">
        <f t="shared" si="250"/>
        <v>105.00476228302121</v>
      </c>
      <c r="K751" s="2">
        <f t="shared" si="250"/>
        <v>144.74147889456404</v>
      </c>
      <c r="L751" s="2">
        <f t="shared" si="250"/>
        <v>181.92931482694456</v>
      </c>
      <c r="M751" s="2">
        <f t="shared" si="250"/>
        <v>215.90653173783033</v>
      </c>
      <c r="N751" s="2">
        <f t="shared" si="250"/>
        <v>246.21176102777972</v>
      </c>
      <c r="O751" s="2">
        <f t="shared" si="250"/>
        <v>272.41474913397963</v>
      </c>
      <c r="P751" s="2">
        <f t="shared" si="250"/>
        <v>0.73447919259930261</v>
      </c>
      <c r="Q751" s="2">
        <f t="shared" si="250"/>
        <v>0.77568142766898418</v>
      </c>
      <c r="R751" s="2">
        <f t="shared" si="250"/>
        <v>0.80327063652440245</v>
      </c>
      <c r="S751" s="2">
        <f t="shared" si="250"/>
        <v>0.81741294510340223</v>
      </c>
      <c r="T751" s="2">
        <f t="shared" si="250"/>
        <v>0.81741294510340223</v>
      </c>
      <c r="U751" s="2">
        <f t="shared" si="250"/>
        <v>0.80327063652440245</v>
      </c>
      <c r="V751" s="2">
        <f t="shared" si="250"/>
        <v>0.77568142766898418</v>
      </c>
      <c r="W751" s="2">
        <f t="shared" si="250"/>
        <v>0.73447919259930261</v>
      </c>
      <c r="X751" s="2">
        <f t="shared" si="250"/>
        <v>0.68103687283495029</v>
      </c>
      <c r="Y751" s="2">
        <f t="shared" si="250"/>
        <v>0.61552940256945032</v>
      </c>
      <c r="Z751" s="2">
        <f t="shared" si="250"/>
        <v>0.5397663293445768</v>
      </c>
      <c r="AA751" s="2">
        <f t="shared" si="250"/>
        <v>0.45482328706736219</v>
      </c>
      <c r="AB751" s="2">
        <f t="shared" si="250"/>
        <v>144.74147889456404</v>
      </c>
      <c r="AC751" s="2">
        <f t="shared" si="250"/>
        <v>105.00476228302121</v>
      </c>
      <c r="AD751" s="2">
        <f t="shared" si="250"/>
        <v>63.584137704130541</v>
      </c>
      <c r="AE751" s="2">
        <f t="shared" si="250"/>
        <v>21.041633982918135</v>
      </c>
      <c r="AF751" s="2"/>
    </row>
    <row r="752" spans="1:33">
      <c r="A752" s="16"/>
      <c r="B752" s="5" t="s">
        <v>67</v>
      </c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3">
      <c r="A753" s="20" t="s">
        <v>875</v>
      </c>
      <c r="E753" s="12"/>
      <c r="F753" s="6"/>
      <c r="G753" s="19">
        <f>(SUM(H753:AE753)+24*$T$24)/48</f>
        <v>237.45794620275001</v>
      </c>
      <c r="H753" s="2">
        <f>$T$24*(1-H$27)</f>
        <v>316.61059493700003</v>
      </c>
      <c r="I753" s="2">
        <f t="shared" ref="I753:AE753" si="251">$T$24*(1-I$27)</f>
        <v>316.61059493700003</v>
      </c>
      <c r="J753" s="2">
        <f t="shared" si="251"/>
        <v>316.61059493700003</v>
      </c>
      <c r="K753" s="2">
        <f t="shared" si="251"/>
        <v>316.61059493700003</v>
      </c>
      <c r="L753" s="2">
        <f t="shared" si="251"/>
        <v>316.61059493700003</v>
      </c>
      <c r="M753" s="2">
        <f t="shared" si="251"/>
        <v>316.61059493700003</v>
      </c>
      <c r="N753" s="2">
        <f t="shared" si="251"/>
        <v>316.61059493700003</v>
      </c>
      <c r="O753" s="2">
        <f t="shared" si="251"/>
        <v>316.61059493700003</v>
      </c>
      <c r="P753" s="2">
        <f t="shared" si="251"/>
        <v>0</v>
      </c>
      <c r="Q753" s="2">
        <f t="shared" si="251"/>
        <v>0</v>
      </c>
      <c r="R753" s="2">
        <f t="shared" si="251"/>
        <v>0</v>
      </c>
      <c r="S753" s="2">
        <f t="shared" si="251"/>
        <v>0</v>
      </c>
      <c r="T753" s="2">
        <f t="shared" si="251"/>
        <v>0</v>
      </c>
      <c r="U753" s="2">
        <f t="shared" si="251"/>
        <v>0</v>
      </c>
      <c r="V753" s="2">
        <f t="shared" si="251"/>
        <v>0</v>
      </c>
      <c r="W753" s="2">
        <f t="shared" si="251"/>
        <v>0</v>
      </c>
      <c r="X753" s="2">
        <f t="shared" si="251"/>
        <v>0</v>
      </c>
      <c r="Y753" s="2">
        <f t="shared" si="251"/>
        <v>0</v>
      </c>
      <c r="Z753" s="2">
        <f t="shared" si="251"/>
        <v>0</v>
      </c>
      <c r="AA753" s="2">
        <f t="shared" si="251"/>
        <v>0</v>
      </c>
      <c r="AB753" s="2">
        <f t="shared" si="251"/>
        <v>316.61059493700003</v>
      </c>
      <c r="AC753" s="2">
        <f t="shared" si="251"/>
        <v>316.61059493700003</v>
      </c>
      <c r="AD753" s="2">
        <f t="shared" si="251"/>
        <v>316.61059493700003</v>
      </c>
      <c r="AE753" s="2">
        <f t="shared" si="251"/>
        <v>316.61059493700003</v>
      </c>
      <c r="AF753" s="2"/>
    </row>
    <row r="754" spans="1:33">
      <c r="A754" s="20"/>
      <c r="C754" s="5" t="s">
        <v>68</v>
      </c>
      <c r="D754" t="s">
        <v>37</v>
      </c>
      <c r="E754" s="12"/>
      <c r="F754" s="6"/>
      <c r="G754" s="19"/>
      <c r="H754" s="2" t="s">
        <v>860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3">
      <c r="A755" s="20" t="s">
        <v>876</v>
      </c>
      <c r="E755" s="12">
        <f>$F$7</f>
        <v>-5</v>
      </c>
      <c r="F755" s="6" t="s">
        <v>558</v>
      </c>
      <c r="G755" s="19">
        <f>SUM(H755:AE755)/48</f>
        <v>73.51128940800001</v>
      </c>
      <c r="H755" s="2">
        <f t="shared" ref="H755:AE755" si="252">$M$9*($F$7+273)^4*H$27</f>
        <v>0</v>
      </c>
      <c r="I755" s="2">
        <f t="shared" si="252"/>
        <v>0</v>
      </c>
      <c r="J755" s="2">
        <f t="shared" si="252"/>
        <v>0</v>
      </c>
      <c r="K755" s="2">
        <f t="shared" si="252"/>
        <v>0</v>
      </c>
      <c r="L755" s="2">
        <f t="shared" si="252"/>
        <v>0</v>
      </c>
      <c r="M755" s="2">
        <f t="shared" si="252"/>
        <v>0</v>
      </c>
      <c r="N755" s="2">
        <f t="shared" si="252"/>
        <v>0</v>
      </c>
      <c r="O755" s="2">
        <f t="shared" si="252"/>
        <v>0</v>
      </c>
      <c r="P755" s="2">
        <f t="shared" si="252"/>
        <v>294.04515763199998</v>
      </c>
      <c r="Q755" s="2">
        <f t="shared" si="252"/>
        <v>294.04515763199998</v>
      </c>
      <c r="R755" s="2">
        <f t="shared" si="252"/>
        <v>294.04515763199998</v>
      </c>
      <c r="S755" s="2">
        <f t="shared" si="252"/>
        <v>294.04515763199998</v>
      </c>
      <c r="T755" s="2">
        <f t="shared" si="252"/>
        <v>294.04515763199998</v>
      </c>
      <c r="U755" s="2">
        <f t="shared" si="252"/>
        <v>294.04515763199998</v>
      </c>
      <c r="V755" s="2">
        <f t="shared" si="252"/>
        <v>294.04515763199998</v>
      </c>
      <c r="W755" s="2">
        <f t="shared" si="252"/>
        <v>294.04515763199998</v>
      </c>
      <c r="X755" s="2">
        <f t="shared" si="252"/>
        <v>294.04515763199998</v>
      </c>
      <c r="Y755" s="2">
        <f t="shared" si="252"/>
        <v>294.04515763199998</v>
      </c>
      <c r="Z755" s="2">
        <f t="shared" si="252"/>
        <v>294.04515763199998</v>
      </c>
      <c r="AA755" s="2">
        <f t="shared" si="252"/>
        <v>294.04515763199998</v>
      </c>
      <c r="AB755" s="2">
        <f t="shared" si="252"/>
        <v>0</v>
      </c>
      <c r="AC755" s="2">
        <f t="shared" si="252"/>
        <v>0</v>
      </c>
      <c r="AD755" s="2">
        <f t="shared" si="252"/>
        <v>0</v>
      </c>
      <c r="AE755" s="2">
        <f t="shared" si="252"/>
        <v>0</v>
      </c>
      <c r="AF755" s="2"/>
    </row>
    <row r="756" spans="1:33">
      <c r="A756" s="20"/>
      <c r="B756" t="s">
        <v>865</v>
      </c>
      <c r="D756" t="s">
        <v>743</v>
      </c>
      <c r="E756" s="30"/>
      <c r="F756" s="6"/>
      <c r="G756" s="19"/>
      <c r="H756" t="s">
        <v>617</v>
      </c>
      <c r="I756" s="2"/>
      <c r="K756" s="2" t="s">
        <v>860</v>
      </c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3">
      <c r="A757" s="20"/>
      <c r="B757" s="16" t="s">
        <v>724</v>
      </c>
      <c r="E757" s="30"/>
      <c r="F757" s="6"/>
      <c r="G757" s="32">
        <f>G749+G751+G753+G755</f>
        <v>415.44625529814198</v>
      </c>
      <c r="H757" s="3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3">
      <c r="A758" s="39" t="s">
        <v>511</v>
      </c>
      <c r="B758" s="16"/>
      <c r="E758" s="30"/>
      <c r="G758" s="32"/>
      <c r="H758" s="3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3">
      <c r="A759" s="3" t="s">
        <v>733</v>
      </c>
      <c r="E759" s="12"/>
      <c r="F759" s="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3">
      <c r="A760" s="3" t="s">
        <v>877</v>
      </c>
      <c r="G760" s="19">
        <f>SUM(H760:AE760)/48</f>
        <v>3.3719680708058317</v>
      </c>
      <c r="H760" s="24">
        <f>H$68*H$718*$F$16</f>
        <v>5.9080481418045068</v>
      </c>
      <c r="I760" s="24">
        <f t="shared" ref="I760:AE760" si="253">I$68*I$718*$F$16</f>
        <v>6.4646007670244749</v>
      </c>
      <c r="J760" s="24">
        <f t="shared" si="253"/>
        <v>6.7184128829564305</v>
      </c>
      <c r="K760" s="24">
        <f t="shared" si="253"/>
        <v>6.8265385868314485</v>
      </c>
      <c r="L760" s="24">
        <f t="shared" si="253"/>
        <v>6.7891945427465572</v>
      </c>
      <c r="M760" s="24">
        <f t="shared" si="253"/>
        <v>6.8869672609909323</v>
      </c>
      <c r="N760" s="24">
        <f t="shared" si="253"/>
        <v>6.7910276037099644</v>
      </c>
      <c r="O760" s="24">
        <f t="shared" si="253"/>
        <v>6.9317144705957228</v>
      </c>
      <c r="P760" s="24">
        <f t="shared" si="253"/>
        <v>6.9596203209030989</v>
      </c>
      <c r="Q760" s="24">
        <f t="shared" si="253"/>
        <v>6.9270598791228402</v>
      </c>
      <c r="R760" s="24">
        <f t="shared" si="253"/>
        <v>6.8786183427735805</v>
      </c>
      <c r="S760" s="24">
        <f t="shared" si="253"/>
        <v>6.8454308998803963</v>
      </c>
      <c r="T760" s="24">
        <f t="shared" si="253"/>
        <v>6.8454308998803963</v>
      </c>
      <c r="U760" s="24">
        <f t="shared" si="253"/>
        <v>6.8786183427735805</v>
      </c>
      <c r="V760" s="24">
        <f t="shared" si="253"/>
        <v>6.9270598791228402</v>
      </c>
      <c r="W760" s="24">
        <f t="shared" si="253"/>
        <v>6.9596203209030989</v>
      </c>
      <c r="X760" s="24">
        <f t="shared" si="253"/>
        <v>6.9317144705957228</v>
      </c>
      <c r="Y760" s="24">
        <f t="shared" si="253"/>
        <v>6.7910276037099644</v>
      </c>
      <c r="Z760" s="24">
        <f t="shared" si="253"/>
        <v>6.8869672609909323</v>
      </c>
      <c r="AA760" s="24">
        <f t="shared" si="253"/>
        <v>6.7891945427465572</v>
      </c>
      <c r="AB760" s="24">
        <f t="shared" si="253"/>
        <v>6.8265385868314485</v>
      </c>
      <c r="AC760" s="24">
        <f t="shared" si="253"/>
        <v>6.7184128829564305</v>
      </c>
      <c r="AD760" s="24">
        <f t="shared" si="253"/>
        <v>6.4646007670244749</v>
      </c>
      <c r="AE760" s="24">
        <f t="shared" si="253"/>
        <v>5.9080481418045068</v>
      </c>
      <c r="AF760" s="2"/>
    </row>
    <row r="761" spans="1:33">
      <c r="B761" s="5" t="s">
        <v>52</v>
      </c>
      <c r="D761" t="s">
        <v>62</v>
      </c>
      <c r="H761" t="s">
        <v>866</v>
      </c>
      <c r="J761" s="2"/>
      <c r="K761" s="2"/>
      <c r="L761" t="s">
        <v>40</v>
      </c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3">
      <c r="A762" t="s">
        <v>879</v>
      </c>
      <c r="C762" s="11"/>
      <c r="G762" s="98">
        <f>SUM(H762:AE762)/48</f>
        <v>145.55892889811156</v>
      </c>
      <c r="H762" s="97">
        <f>H$68*(1-($F$16+$F$13)*H$718)</f>
        <v>24.033268013813885</v>
      </c>
      <c r="I762" s="97">
        <f t="shared" ref="I762:AE762" si="254">I$68*(1-($F$16+$F$13)*I$718)</f>
        <v>84.240589652107246</v>
      </c>
      <c r="J762" s="97">
        <f t="shared" si="254"/>
        <v>143.15402212084331</v>
      </c>
      <c r="K762" s="97">
        <f t="shared" si="254"/>
        <v>199.81047191938057</v>
      </c>
      <c r="L762" s="97">
        <f t="shared" si="254"/>
        <v>252.97404274774792</v>
      </c>
      <c r="M762" s="97">
        <f t="shared" si="254"/>
        <v>301.41319587640407</v>
      </c>
      <c r="N762" s="97">
        <f t="shared" si="254"/>
        <v>344.8042390267583</v>
      </c>
      <c r="O762" s="97">
        <f t="shared" si="254"/>
        <v>382.09357857424902</v>
      </c>
      <c r="P762" s="97">
        <f t="shared" si="254"/>
        <v>412.60358304370823</v>
      </c>
      <c r="Q762" s="97">
        <f t="shared" si="254"/>
        <v>436.18092901985631</v>
      </c>
      <c r="R762" s="97">
        <f t="shared" si="254"/>
        <v>451.99560159002874</v>
      </c>
      <c r="S762" s="97">
        <f t="shared" si="254"/>
        <v>460.11077196977971</v>
      </c>
      <c r="T762" s="97">
        <f t="shared" si="254"/>
        <v>460.11077196977971</v>
      </c>
      <c r="U762" s="97">
        <f t="shared" si="254"/>
        <v>451.99560159002874</v>
      </c>
      <c r="V762" s="97">
        <f t="shared" si="254"/>
        <v>436.18092901985631</v>
      </c>
      <c r="W762" s="97">
        <f t="shared" si="254"/>
        <v>412.60358304370823</v>
      </c>
      <c r="X762" s="97">
        <f t="shared" si="254"/>
        <v>382.09357857424902</v>
      </c>
      <c r="Y762" s="97">
        <f t="shared" si="254"/>
        <v>344.8042390267583</v>
      </c>
      <c r="Z762" s="97">
        <f t="shared" si="254"/>
        <v>301.41319587640407</v>
      </c>
      <c r="AA762" s="97">
        <f t="shared" si="254"/>
        <v>252.97404274774792</v>
      </c>
      <c r="AB762" s="97">
        <f t="shared" si="254"/>
        <v>199.81047191938057</v>
      </c>
      <c r="AC762" s="97">
        <f t="shared" si="254"/>
        <v>143.15402212084331</v>
      </c>
      <c r="AD762" s="97">
        <f t="shared" si="254"/>
        <v>84.240589652107246</v>
      </c>
      <c r="AE762" s="97">
        <f t="shared" si="254"/>
        <v>24.033268013813885</v>
      </c>
      <c r="AF762" s="28"/>
      <c r="AG762" s="11"/>
    </row>
    <row r="763" spans="1:33">
      <c r="B763" s="24" t="s">
        <v>53</v>
      </c>
      <c r="D763" s="2" t="s">
        <v>57</v>
      </c>
      <c r="E763" s="106" t="s">
        <v>970</v>
      </c>
      <c r="G763" t="s">
        <v>853</v>
      </c>
      <c r="I763" t="s">
        <v>40</v>
      </c>
      <c r="AF763" s="28"/>
      <c r="AG763" s="11"/>
    </row>
    <row r="764" spans="1:33">
      <c r="A764" t="s">
        <v>878</v>
      </c>
      <c r="C764" s="11"/>
      <c r="D764" s="24"/>
      <c r="G764" s="97">
        <f>SUM(H764:AE764)/48</f>
        <v>101.89125022867808</v>
      </c>
      <c r="H764" s="97">
        <f>H762*($T$20*(1-H$27)+$F$15*H$27)</f>
        <v>16.82328760966972</v>
      </c>
      <c r="I764" s="97">
        <f t="shared" ref="I764:AE764" si="255">I762*($T$20*(1-I$27)+$F$15*I$27)</f>
        <v>58.968412756475068</v>
      </c>
      <c r="J764" s="97">
        <f t="shared" si="255"/>
        <v>100.20781548459031</v>
      </c>
      <c r="K764" s="97">
        <f t="shared" si="255"/>
        <v>139.86733034356638</v>
      </c>
      <c r="L764" s="97">
        <f t="shared" si="255"/>
        <v>177.08182992342353</v>
      </c>
      <c r="M764" s="97">
        <f t="shared" si="255"/>
        <v>210.98923711348283</v>
      </c>
      <c r="N764" s="97">
        <f t="shared" si="255"/>
        <v>241.3629673187308</v>
      </c>
      <c r="O764" s="97">
        <f t="shared" si="255"/>
        <v>267.46550500197429</v>
      </c>
      <c r="P764" s="97">
        <f t="shared" si="255"/>
        <v>288.82250813059574</v>
      </c>
      <c r="Q764" s="97">
        <f t="shared" si="255"/>
        <v>305.32665031389939</v>
      </c>
      <c r="R764" s="97">
        <f t="shared" si="255"/>
        <v>316.39692111302008</v>
      </c>
      <c r="S764" s="97">
        <f t="shared" si="255"/>
        <v>322.07754037884575</v>
      </c>
      <c r="T764" s="97">
        <f t="shared" si="255"/>
        <v>322.07754037884575</v>
      </c>
      <c r="U764" s="97">
        <f t="shared" si="255"/>
        <v>316.39692111302008</v>
      </c>
      <c r="V764" s="97">
        <f t="shared" si="255"/>
        <v>305.32665031389939</v>
      </c>
      <c r="W764" s="97">
        <f t="shared" si="255"/>
        <v>288.82250813059574</v>
      </c>
      <c r="X764" s="97">
        <f t="shared" si="255"/>
        <v>267.46550500197429</v>
      </c>
      <c r="Y764" s="97">
        <f t="shared" si="255"/>
        <v>241.3629673187308</v>
      </c>
      <c r="Z764" s="97">
        <f t="shared" si="255"/>
        <v>210.98923711348283</v>
      </c>
      <c r="AA764" s="97">
        <f t="shared" si="255"/>
        <v>177.08182992342353</v>
      </c>
      <c r="AB764" s="97">
        <f t="shared" si="255"/>
        <v>139.86733034356638</v>
      </c>
      <c r="AC764" s="97">
        <f t="shared" si="255"/>
        <v>100.20781548459031</v>
      </c>
      <c r="AD764" s="97">
        <f t="shared" si="255"/>
        <v>58.968412756475068</v>
      </c>
      <c r="AE764" s="97">
        <f t="shared" si="255"/>
        <v>16.82328760966972</v>
      </c>
      <c r="AF764" s="28"/>
      <c r="AG764" s="11"/>
    </row>
    <row r="765" spans="1:33">
      <c r="B765" s="24" t="s">
        <v>917</v>
      </c>
      <c r="D765" s="14" t="s">
        <v>65</v>
      </c>
      <c r="G765" t="s">
        <v>888</v>
      </c>
      <c r="I765" s="24" t="s">
        <v>80</v>
      </c>
      <c r="M765" s="2" t="s">
        <v>860</v>
      </c>
      <c r="AF765" s="28"/>
      <c r="AG765" s="11"/>
    </row>
    <row r="766" spans="1:33" ht="18">
      <c r="A766" s="20" t="s">
        <v>881</v>
      </c>
      <c r="G766" s="19">
        <f>SUM(H766:AE766)/48</f>
        <v>69.3239763375488</v>
      </c>
      <c r="H766" s="2">
        <f>H$68*H$27*$F$15*(1-H$718*$F$16)*(1-$H$719*$F$16)</f>
        <v>0</v>
      </c>
      <c r="I766" s="2">
        <f t="shared" ref="I766:AE766" si="256">I$68*I$27*$F$15*(1-I$718*$F$16)*(1-$H$719*$F$16)</f>
        <v>0</v>
      </c>
      <c r="J766" s="2">
        <f t="shared" si="256"/>
        <v>0</v>
      </c>
      <c r="K766" s="2">
        <f t="shared" si="256"/>
        <v>0</v>
      </c>
      <c r="L766" s="2">
        <f t="shared" si="256"/>
        <v>0</v>
      </c>
      <c r="M766" s="2">
        <f t="shared" si="256"/>
        <v>0</v>
      </c>
      <c r="N766" s="2">
        <f t="shared" si="256"/>
        <v>0</v>
      </c>
      <c r="O766" s="2">
        <f t="shared" si="256"/>
        <v>0</v>
      </c>
      <c r="P766" s="2">
        <f t="shared" si="256"/>
        <v>285.84866504074267</v>
      </c>
      <c r="Q766" s="2">
        <f t="shared" si="256"/>
        <v>302.17691383433953</v>
      </c>
      <c r="R766" s="2">
        <f t="shared" si="256"/>
        <v>313.12883443026163</v>
      </c>
      <c r="S766" s="2">
        <f t="shared" si="256"/>
        <v>318.7486078723901</v>
      </c>
      <c r="T766" s="2">
        <f t="shared" si="256"/>
        <v>318.7486078723901</v>
      </c>
      <c r="U766" s="2">
        <f t="shared" si="256"/>
        <v>313.12883443026163</v>
      </c>
      <c r="V766" s="2">
        <f t="shared" si="256"/>
        <v>302.17691383433953</v>
      </c>
      <c r="W766" s="2">
        <f t="shared" si="256"/>
        <v>285.84866504074267</v>
      </c>
      <c r="X766" s="2">
        <f t="shared" si="256"/>
        <v>264.71830467169247</v>
      </c>
      <c r="Y766" s="2">
        <f t="shared" si="256"/>
        <v>238.8912935959988</v>
      </c>
      <c r="Z766" s="2">
        <f t="shared" si="256"/>
        <v>208.84177119971022</v>
      </c>
      <c r="AA766" s="2">
        <f t="shared" si="256"/>
        <v>175.29345237947348</v>
      </c>
      <c r="AB766" s="2">
        <f t="shared" si="256"/>
        <v>0</v>
      </c>
      <c r="AC766" s="2">
        <f t="shared" si="256"/>
        <v>0</v>
      </c>
      <c r="AD766" s="2">
        <f t="shared" si="256"/>
        <v>0</v>
      </c>
      <c r="AE766" s="2">
        <f t="shared" si="256"/>
        <v>0</v>
      </c>
      <c r="AF766" s="2"/>
    </row>
    <row r="767" spans="1:33">
      <c r="B767" s="5" t="s">
        <v>54</v>
      </c>
      <c r="C767" s="11"/>
      <c r="D767" t="s">
        <v>55</v>
      </c>
      <c r="E767" s="12"/>
      <c r="F767" s="18"/>
      <c r="G767" s="2" t="s">
        <v>860</v>
      </c>
      <c r="I767" s="2" t="s">
        <v>867</v>
      </c>
      <c r="K767" s="9"/>
      <c r="AF767" s="2"/>
    </row>
    <row r="768" spans="1:33">
      <c r="A768" s="11" t="s">
        <v>568</v>
      </c>
      <c r="B768" t="s">
        <v>883</v>
      </c>
      <c r="C768" s="11"/>
      <c r="E768" s="12"/>
      <c r="F768" s="18"/>
      <c r="G768" s="2" t="s">
        <v>44</v>
      </c>
      <c r="H768" s="2"/>
      <c r="J768" t="s">
        <v>868</v>
      </c>
      <c r="AF768" s="2"/>
    </row>
    <row r="769" spans="1:33">
      <c r="A769" s="11"/>
      <c r="B769" t="s">
        <v>45</v>
      </c>
      <c r="C769" s="11"/>
      <c r="E769" s="12"/>
      <c r="F769" s="18"/>
      <c r="G769" s="19"/>
      <c r="I769" s="12" t="s">
        <v>858</v>
      </c>
      <c r="K769" s="11"/>
      <c r="AF769" s="2"/>
    </row>
    <row r="770" spans="1:33">
      <c r="A770" s="11"/>
      <c r="B770" s="2" t="s">
        <v>46</v>
      </c>
      <c r="C770" s="11"/>
      <c r="E770" s="12"/>
      <c r="F770" s="18"/>
      <c r="G770" s="19"/>
      <c r="H770" s="2"/>
      <c r="K770" s="11"/>
      <c r="L770" s="12"/>
      <c r="AF770" s="2"/>
    </row>
    <row r="771" spans="1:33" ht="18">
      <c r="A771" s="20" t="s">
        <v>882</v>
      </c>
      <c r="G771" s="19">
        <f>SUM(H771:AE771)/48</f>
        <v>31.70416483885128</v>
      </c>
      <c r="H771" s="2">
        <f>H$68*$T$20*H$28^2*(1-H$718*$F$16)*(1-$H$719*$F$16)</f>
        <v>16.726286061028603</v>
      </c>
      <c r="I771" s="2">
        <f t="shared" ref="I771:AE771" si="257">I$68*$T$20*I$28^2*(1-I$718*$F$16)*(1-$H$719*$F$16)</f>
        <v>58.431108861891005</v>
      </c>
      <c r="J771" s="2">
        <f t="shared" si="257"/>
        <v>99.235643945222677</v>
      </c>
      <c r="K771" s="2">
        <f t="shared" si="257"/>
        <v>138.47506776059828</v>
      </c>
      <c r="L771" s="2">
        <f t="shared" si="257"/>
        <v>175.29345237947348</v>
      </c>
      <c r="M771" s="2">
        <f t="shared" si="257"/>
        <v>208.84177119971022</v>
      </c>
      <c r="N771" s="2">
        <f t="shared" si="257"/>
        <v>238.8912935959988</v>
      </c>
      <c r="O771" s="2">
        <f t="shared" si="257"/>
        <v>264.71830467169247</v>
      </c>
      <c r="P771" s="2">
        <f t="shared" si="257"/>
        <v>0.71462166260185789</v>
      </c>
      <c r="Q771" s="2">
        <f t="shared" si="257"/>
        <v>0.75544228458585017</v>
      </c>
      <c r="R771" s="2">
        <f t="shared" si="257"/>
        <v>0.7828220860756554</v>
      </c>
      <c r="S771" s="2">
        <f t="shared" si="257"/>
        <v>0.79687151968097658</v>
      </c>
      <c r="T771" s="2">
        <f t="shared" si="257"/>
        <v>0.79687151968097658</v>
      </c>
      <c r="U771" s="2">
        <f t="shared" si="257"/>
        <v>0.7828220860756554</v>
      </c>
      <c r="V771" s="2">
        <f t="shared" si="257"/>
        <v>0.75544228458585017</v>
      </c>
      <c r="W771" s="2">
        <f t="shared" si="257"/>
        <v>0.71462166260185789</v>
      </c>
      <c r="X771" s="2">
        <f t="shared" si="257"/>
        <v>0.66179576167923226</v>
      </c>
      <c r="Y771" s="2">
        <f t="shared" si="257"/>
        <v>0.59722823398999791</v>
      </c>
      <c r="Z771" s="2">
        <f t="shared" si="257"/>
        <v>0.52210442799927648</v>
      </c>
      <c r="AA771" s="2">
        <f t="shared" si="257"/>
        <v>0.4382336309486845</v>
      </c>
      <c r="AB771" s="2">
        <f t="shared" si="257"/>
        <v>138.47506776059828</v>
      </c>
      <c r="AC771" s="2">
        <f t="shared" si="257"/>
        <v>99.235643945222677</v>
      </c>
      <c r="AD771" s="2">
        <f t="shared" si="257"/>
        <v>58.431108861891005</v>
      </c>
      <c r="AE771" s="2">
        <f t="shared" si="257"/>
        <v>16.726286061028603</v>
      </c>
      <c r="AF771" s="2"/>
    </row>
    <row r="772" spans="1:33">
      <c r="A772" s="14"/>
      <c r="B772" s="5" t="s">
        <v>67</v>
      </c>
      <c r="G772" s="2"/>
      <c r="H772" s="2"/>
      <c r="I772" s="2"/>
      <c r="J772" s="10"/>
      <c r="K772" s="9"/>
      <c r="AF772" s="2"/>
    </row>
    <row r="773" spans="1:33">
      <c r="A773" s="11" t="s">
        <v>568</v>
      </c>
      <c r="B773" t="s">
        <v>726</v>
      </c>
      <c r="C773" s="11"/>
      <c r="E773" s="12"/>
      <c r="F773" s="18"/>
      <c r="G773" s="2" t="s">
        <v>44</v>
      </c>
      <c r="H773" s="2"/>
      <c r="J773" s="11"/>
      <c r="K773" t="s">
        <v>868</v>
      </c>
      <c r="M773" s="10"/>
      <c r="N773" s="10"/>
      <c r="AF773" s="2"/>
    </row>
    <row r="774" spans="1:33">
      <c r="A774" s="11"/>
      <c r="B774" t="s">
        <v>45</v>
      </c>
      <c r="C774" s="11"/>
      <c r="E774" s="12"/>
      <c r="F774" s="18"/>
      <c r="G774" s="19"/>
      <c r="H774" s="2"/>
      <c r="J774" s="11"/>
      <c r="M774" s="10"/>
      <c r="N774" s="10"/>
      <c r="AF774" s="2"/>
    </row>
    <row r="775" spans="1:33">
      <c r="A775" t="s">
        <v>834</v>
      </c>
      <c r="B775" s="5"/>
      <c r="C775" s="11"/>
      <c r="D775" s="5" t="s">
        <v>58</v>
      </c>
      <c r="F775" t="s">
        <v>81</v>
      </c>
      <c r="G775" s="97">
        <f>SUM(H775:AE775)/48</f>
        <v>1.0831247202202181</v>
      </c>
      <c r="H775" s="97">
        <f>H764*$H$719*$F$16</f>
        <v>0.1788349700736043</v>
      </c>
      <c r="I775" s="97">
        <f t="shared" ref="I775:AE775" si="258">I764*$H$719*$F$16</f>
        <v>0.62684622502267262</v>
      </c>
      <c r="J775" s="97">
        <f t="shared" si="258"/>
        <v>1.0652294663872655</v>
      </c>
      <c r="K775" s="97">
        <f t="shared" si="258"/>
        <v>1.486818178266744</v>
      </c>
      <c r="L775" s="97">
        <f t="shared" si="258"/>
        <v>1.8824158802784836</v>
      </c>
      <c r="M775" s="97">
        <f t="shared" si="258"/>
        <v>2.2428585173420261</v>
      </c>
      <c r="N775" s="97">
        <f t="shared" si="258"/>
        <v>2.5657374491125973</v>
      </c>
      <c r="O775" s="97">
        <f t="shared" si="258"/>
        <v>2.8432127353785752</v>
      </c>
      <c r="P775" s="97">
        <f t="shared" si="258"/>
        <v>3.0702420238259518</v>
      </c>
      <c r="Q775" s="97">
        <f t="shared" si="258"/>
        <v>3.2456844130855367</v>
      </c>
      <c r="R775" s="97">
        <f t="shared" si="258"/>
        <v>3.3633636439826842</v>
      </c>
      <c r="S775" s="97">
        <f t="shared" si="258"/>
        <v>3.4237497825290855</v>
      </c>
      <c r="T775" s="97">
        <f t="shared" si="258"/>
        <v>3.4237497825290855</v>
      </c>
      <c r="U775" s="97">
        <f t="shared" si="258"/>
        <v>3.3633636439826842</v>
      </c>
      <c r="V775" s="97">
        <f t="shared" si="258"/>
        <v>3.2456844130855367</v>
      </c>
      <c r="W775" s="97">
        <f t="shared" si="258"/>
        <v>3.0702420238259518</v>
      </c>
      <c r="X775" s="97">
        <f t="shared" si="258"/>
        <v>2.8432127353785752</v>
      </c>
      <c r="Y775" s="97">
        <f t="shared" si="258"/>
        <v>2.5657374491125973</v>
      </c>
      <c r="Z775" s="97">
        <f t="shared" si="258"/>
        <v>2.2428585173420261</v>
      </c>
      <c r="AA775" s="97">
        <f t="shared" si="258"/>
        <v>1.8824158802784836</v>
      </c>
      <c r="AB775" s="97">
        <f t="shared" si="258"/>
        <v>1.486818178266744</v>
      </c>
      <c r="AC775" s="97">
        <f t="shared" si="258"/>
        <v>1.0652294663872655</v>
      </c>
      <c r="AD775" s="97">
        <f t="shared" si="258"/>
        <v>0.62684622502267262</v>
      </c>
      <c r="AE775" s="97">
        <f t="shared" si="258"/>
        <v>0.1788349700736043</v>
      </c>
      <c r="AF775" s="28"/>
      <c r="AG775" s="11"/>
    </row>
    <row r="776" spans="1:33">
      <c r="A776" t="s">
        <v>918</v>
      </c>
      <c r="B776" s="5"/>
      <c r="C776" s="11"/>
      <c r="D776" s="104" t="s">
        <v>82</v>
      </c>
      <c r="G776" s="97">
        <f>SUM(H776:AE776)/48</f>
        <v>0.75818730415415236</v>
      </c>
      <c r="H776" s="97">
        <f>H775*($T$20*(1-H$27)+$F$15*H$27)</f>
        <v>0.125184479051523</v>
      </c>
      <c r="I776" s="97">
        <f t="shared" ref="I776:AE776" si="259">I775*($T$20*(1-I$27)+$F$15*I$27)</f>
        <v>0.43879235751587081</v>
      </c>
      <c r="J776" s="97">
        <f t="shared" si="259"/>
        <v>0.74566062647108577</v>
      </c>
      <c r="K776" s="97">
        <f t="shared" si="259"/>
        <v>1.0407727247867207</v>
      </c>
      <c r="L776" s="97">
        <f t="shared" si="259"/>
        <v>1.3176911161949385</v>
      </c>
      <c r="M776" s="97">
        <f t="shared" si="259"/>
        <v>1.5700009621394182</v>
      </c>
      <c r="N776" s="97">
        <f t="shared" si="259"/>
        <v>1.7960162143788179</v>
      </c>
      <c r="O776" s="97">
        <f t="shared" si="259"/>
        <v>1.9902489147650024</v>
      </c>
      <c r="P776" s="97">
        <f t="shared" si="259"/>
        <v>2.1491694166781663</v>
      </c>
      <c r="Q776" s="97">
        <f t="shared" si="259"/>
        <v>2.2719790891598755</v>
      </c>
      <c r="R776" s="97">
        <f t="shared" si="259"/>
        <v>2.3543545507878787</v>
      </c>
      <c r="S776" s="97">
        <f t="shared" si="259"/>
        <v>2.3966248477703598</v>
      </c>
      <c r="T776" s="97">
        <f t="shared" si="259"/>
        <v>2.3966248477703598</v>
      </c>
      <c r="U776" s="97">
        <f t="shared" si="259"/>
        <v>2.3543545507878787</v>
      </c>
      <c r="V776" s="97">
        <f t="shared" si="259"/>
        <v>2.2719790891598755</v>
      </c>
      <c r="W776" s="97">
        <f t="shared" si="259"/>
        <v>2.1491694166781663</v>
      </c>
      <c r="X776" s="97">
        <f t="shared" si="259"/>
        <v>1.9902489147650024</v>
      </c>
      <c r="Y776" s="97">
        <f t="shared" si="259"/>
        <v>1.7960162143788179</v>
      </c>
      <c r="Z776" s="97">
        <f t="shared" si="259"/>
        <v>1.5700009621394182</v>
      </c>
      <c r="AA776" s="97">
        <f t="shared" si="259"/>
        <v>1.3176911161949385</v>
      </c>
      <c r="AB776" s="97">
        <f t="shared" si="259"/>
        <v>1.0407727247867207</v>
      </c>
      <c r="AC776" s="97">
        <f t="shared" si="259"/>
        <v>0.74566062647108577</v>
      </c>
      <c r="AD776" s="97">
        <f t="shared" si="259"/>
        <v>0.43879235751587081</v>
      </c>
      <c r="AE776" s="97">
        <f t="shared" si="259"/>
        <v>0.125184479051523</v>
      </c>
      <c r="AF776" s="28"/>
      <c r="AG776" s="11"/>
    </row>
    <row r="777" spans="1:33">
      <c r="A777" s="20" t="s">
        <v>835</v>
      </c>
      <c r="B777" s="5"/>
      <c r="C777" s="11"/>
      <c r="G777" s="19">
        <f>SUM(H777:AE777)/48</f>
        <v>0.74996642514795431</v>
      </c>
      <c r="H777" s="24">
        <f>H776*(1-($F$16+$F$13)*$H$719)</f>
        <v>0.12382712784015627</v>
      </c>
      <c r="I777" s="24">
        <f t="shared" ref="I777:AE777" si="260">I776*(1-($F$16+$F$13)*$H$719)</f>
        <v>0.43403461644025798</v>
      </c>
      <c r="J777" s="24">
        <f t="shared" si="260"/>
        <v>0.73757557181992228</v>
      </c>
      <c r="K777" s="24">
        <f t="shared" si="260"/>
        <v>1.0294878264554725</v>
      </c>
      <c r="L777" s="24">
        <f t="shared" si="260"/>
        <v>1.3034036450457536</v>
      </c>
      <c r="M777" s="24">
        <f t="shared" si="260"/>
        <v>1.5529777438942094</v>
      </c>
      <c r="N777" s="24">
        <f t="shared" si="260"/>
        <v>1.7765423562560547</v>
      </c>
      <c r="O777" s="24">
        <f t="shared" si="260"/>
        <v>1.9686690288570559</v>
      </c>
      <c r="P777" s="24">
        <f t="shared" si="260"/>
        <v>2.1258663863563338</v>
      </c>
      <c r="Q777" s="24">
        <f t="shared" si="260"/>
        <v>2.2473444571972201</v>
      </c>
      <c r="R777" s="24">
        <f t="shared" si="260"/>
        <v>2.3288267375500777</v>
      </c>
      <c r="S777" s="24">
        <f t="shared" si="260"/>
        <v>2.3706387058383891</v>
      </c>
      <c r="T777" s="24">
        <f t="shared" si="260"/>
        <v>2.3706387058383891</v>
      </c>
      <c r="U777" s="24">
        <f t="shared" si="260"/>
        <v>2.3288267375500777</v>
      </c>
      <c r="V777" s="24">
        <f t="shared" si="260"/>
        <v>2.2473444571972201</v>
      </c>
      <c r="W777" s="24">
        <f t="shared" si="260"/>
        <v>2.1258663863563338</v>
      </c>
      <c r="X777" s="24">
        <f t="shared" si="260"/>
        <v>1.9686690288570559</v>
      </c>
      <c r="Y777" s="24">
        <f t="shared" si="260"/>
        <v>1.7765423562560547</v>
      </c>
      <c r="Z777" s="24">
        <f t="shared" si="260"/>
        <v>1.5529777438942094</v>
      </c>
      <c r="AA777" s="24">
        <f t="shared" si="260"/>
        <v>1.3034036450457536</v>
      </c>
      <c r="AB777" s="24">
        <f t="shared" si="260"/>
        <v>1.0294878264554725</v>
      </c>
      <c r="AC777" s="24">
        <f t="shared" si="260"/>
        <v>0.73757557181992228</v>
      </c>
      <c r="AD777" s="24">
        <f t="shared" si="260"/>
        <v>0.43403461644025798</v>
      </c>
      <c r="AE777" s="24">
        <f t="shared" si="260"/>
        <v>0.12382712784015627</v>
      </c>
      <c r="AF777" s="28"/>
      <c r="AG777" s="11"/>
    </row>
    <row r="778" spans="1:33">
      <c r="A778" s="20"/>
      <c r="B778" s="24" t="s">
        <v>83</v>
      </c>
      <c r="C778" s="11"/>
      <c r="G778" s="19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8"/>
      <c r="AG778" s="11"/>
    </row>
    <row r="779" spans="1:33">
      <c r="A779" s="100" t="s">
        <v>836</v>
      </c>
      <c r="B779" s="5"/>
      <c r="C779" s="11"/>
      <c r="G779" s="19">
        <f>SUM(H779:AE779)/48</f>
        <v>5.5672633568170302E-3</v>
      </c>
      <c r="H779" s="2">
        <f>H777^2/(H766+H771)</f>
        <v>9.1671023281539375E-4</v>
      </c>
      <c r="I779" s="2">
        <f t="shared" ref="I779:AE779" si="261">I777^2/(I766+I771)</f>
        <v>3.2240710802479392E-3</v>
      </c>
      <c r="J779" s="2">
        <f t="shared" si="261"/>
        <v>5.4820798507215713E-3</v>
      </c>
      <c r="K779" s="2">
        <f t="shared" si="261"/>
        <v>7.6536895916333447E-3</v>
      </c>
      <c r="L779" s="2">
        <f t="shared" si="261"/>
        <v>9.6915260602026335E-3</v>
      </c>
      <c r="M779" s="2">
        <f t="shared" si="261"/>
        <v>1.1548168066073627E-2</v>
      </c>
      <c r="N779" s="2">
        <f t="shared" si="261"/>
        <v>1.3211459890661652E-2</v>
      </c>
      <c r="O779" s="2">
        <f t="shared" si="261"/>
        <v>1.4640686634751727E-2</v>
      </c>
      <c r="P779" s="2">
        <f t="shared" si="261"/>
        <v>1.5770714890348835E-2</v>
      </c>
      <c r="Q779" s="2">
        <f t="shared" si="261"/>
        <v>1.6672227338146463E-2</v>
      </c>
      <c r="R779" s="2">
        <f t="shared" si="261"/>
        <v>1.7276943563406286E-2</v>
      </c>
      <c r="S779" s="2">
        <f t="shared" si="261"/>
        <v>1.7587255135985382E-2</v>
      </c>
      <c r="T779" s="2">
        <f t="shared" si="261"/>
        <v>1.7587255135985382E-2</v>
      </c>
      <c r="U779" s="2">
        <f t="shared" si="261"/>
        <v>1.7276943563406286E-2</v>
      </c>
      <c r="V779" s="2">
        <f t="shared" si="261"/>
        <v>1.6672227338146463E-2</v>
      </c>
      <c r="W779" s="2">
        <f t="shared" si="261"/>
        <v>1.5770714890348835E-2</v>
      </c>
      <c r="X779" s="2">
        <f t="shared" si="261"/>
        <v>1.4604176194266062E-2</v>
      </c>
      <c r="Y779" s="2">
        <f t="shared" si="261"/>
        <v>1.3178513606645039E-2</v>
      </c>
      <c r="Z779" s="2">
        <f t="shared" si="261"/>
        <v>1.1519369641968705E-2</v>
      </c>
      <c r="AA779" s="2">
        <f t="shared" si="261"/>
        <v>9.6673576660375408E-3</v>
      </c>
      <c r="AB779" s="2">
        <f t="shared" si="261"/>
        <v>7.6536895916333447E-3</v>
      </c>
      <c r="AC779" s="2">
        <f t="shared" si="261"/>
        <v>5.4820798507215713E-3</v>
      </c>
      <c r="AD779" s="2">
        <f t="shared" si="261"/>
        <v>3.2240710802479392E-3</v>
      </c>
      <c r="AE779" s="2">
        <f t="shared" si="261"/>
        <v>9.1671023281539375E-4</v>
      </c>
      <c r="AF779" s="28"/>
      <c r="AG779" s="11"/>
    </row>
    <row r="780" spans="1:33" ht="18">
      <c r="A780" s="100"/>
      <c r="B780" s="24" t="s">
        <v>84</v>
      </c>
      <c r="C780" s="11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8"/>
      <c r="AG780" s="11"/>
    </row>
    <row r="781" spans="1:33" ht="18">
      <c r="A781" s="20" t="s">
        <v>890</v>
      </c>
      <c r="G781" s="19">
        <f>(SUM(H781:AE781)+24*$T$24*(1-$H$719))/48</f>
        <v>232.4094936424431</v>
      </c>
      <c r="H781" s="2">
        <f t="shared" ref="H781:AE781" si="262">$T$24*(1-H$27)*(1-$H$719)</f>
        <v>309.87932485659081</v>
      </c>
      <c r="I781" s="2">
        <f t="shared" si="262"/>
        <v>309.87932485659081</v>
      </c>
      <c r="J781" s="2">
        <f t="shared" si="262"/>
        <v>309.87932485659081</v>
      </c>
      <c r="K781" s="2">
        <f t="shared" si="262"/>
        <v>309.87932485659081</v>
      </c>
      <c r="L781" s="2">
        <f t="shared" si="262"/>
        <v>309.87932485659081</v>
      </c>
      <c r="M781" s="2">
        <f t="shared" si="262"/>
        <v>309.87932485659081</v>
      </c>
      <c r="N781" s="2">
        <f t="shared" si="262"/>
        <v>309.87932485659081</v>
      </c>
      <c r="O781" s="2">
        <f t="shared" si="262"/>
        <v>309.87932485659081</v>
      </c>
      <c r="P781" s="2">
        <f t="shared" si="262"/>
        <v>0</v>
      </c>
      <c r="Q781" s="2">
        <f t="shared" si="262"/>
        <v>0</v>
      </c>
      <c r="R781" s="2">
        <f t="shared" si="262"/>
        <v>0</v>
      </c>
      <c r="S781" s="2">
        <f t="shared" si="262"/>
        <v>0</v>
      </c>
      <c r="T781" s="2">
        <f t="shared" si="262"/>
        <v>0</v>
      </c>
      <c r="U781" s="2">
        <f t="shared" si="262"/>
        <v>0</v>
      </c>
      <c r="V781" s="2">
        <f t="shared" si="262"/>
        <v>0</v>
      </c>
      <c r="W781" s="2">
        <f t="shared" si="262"/>
        <v>0</v>
      </c>
      <c r="X781" s="2">
        <f t="shared" si="262"/>
        <v>0</v>
      </c>
      <c r="Y781" s="2">
        <f t="shared" si="262"/>
        <v>0</v>
      </c>
      <c r="Z781" s="2">
        <f t="shared" si="262"/>
        <v>0</v>
      </c>
      <c r="AA781" s="2">
        <f t="shared" si="262"/>
        <v>0</v>
      </c>
      <c r="AB781" s="2">
        <f t="shared" si="262"/>
        <v>309.87932485659081</v>
      </c>
      <c r="AC781" s="2">
        <f t="shared" si="262"/>
        <v>309.87932485659081</v>
      </c>
      <c r="AD781" s="2">
        <f t="shared" si="262"/>
        <v>309.87932485659081</v>
      </c>
      <c r="AE781" s="2">
        <f t="shared" si="262"/>
        <v>309.87932485659081</v>
      </c>
      <c r="AF781" s="2"/>
    </row>
    <row r="782" spans="1:33">
      <c r="A782" s="14"/>
      <c r="B782" s="5" t="s">
        <v>69</v>
      </c>
      <c r="D782" t="s">
        <v>257</v>
      </c>
      <c r="E782" s="12"/>
      <c r="F782" s="6"/>
      <c r="G782" s="2" t="s">
        <v>860</v>
      </c>
      <c r="I782" s="2" t="s">
        <v>47</v>
      </c>
      <c r="J782" s="10"/>
      <c r="K782" s="9"/>
      <c r="AF782" s="2"/>
    </row>
    <row r="783" spans="1:33" ht="18">
      <c r="A783" s="20" t="s">
        <v>891</v>
      </c>
      <c r="D783" s="105" t="s">
        <v>892</v>
      </c>
      <c r="E783">
        <f>$F$7</f>
        <v>-5</v>
      </c>
      <c r="F783" s="5" t="s">
        <v>893</v>
      </c>
      <c r="G783" s="19">
        <f>SUM(H783:AE783)/48</f>
        <v>71.948409482699844</v>
      </c>
      <c r="H783" s="2">
        <f t="shared" ref="H783:AE783" si="263">$M$9*($F$7+273)^4*H$27*(1-$H$719)</f>
        <v>0</v>
      </c>
      <c r="I783" s="2">
        <f t="shared" si="263"/>
        <v>0</v>
      </c>
      <c r="J783" s="2">
        <f t="shared" si="263"/>
        <v>0</v>
      </c>
      <c r="K783" s="2">
        <f t="shared" si="263"/>
        <v>0</v>
      </c>
      <c r="L783" s="2">
        <f t="shared" si="263"/>
        <v>0</v>
      </c>
      <c r="M783" s="2">
        <f t="shared" si="263"/>
        <v>0</v>
      </c>
      <c r="N783" s="2">
        <f t="shared" si="263"/>
        <v>0</v>
      </c>
      <c r="O783" s="2">
        <f t="shared" si="263"/>
        <v>0</v>
      </c>
      <c r="P783" s="2">
        <f t="shared" si="263"/>
        <v>287.79363793079938</v>
      </c>
      <c r="Q783" s="2">
        <f t="shared" si="263"/>
        <v>287.79363793079938</v>
      </c>
      <c r="R783" s="2">
        <f t="shared" si="263"/>
        <v>287.79363793079938</v>
      </c>
      <c r="S783" s="2">
        <f t="shared" si="263"/>
        <v>287.79363793079938</v>
      </c>
      <c r="T783" s="2">
        <f t="shared" si="263"/>
        <v>287.79363793079938</v>
      </c>
      <c r="U783" s="2">
        <f t="shared" si="263"/>
        <v>287.79363793079938</v>
      </c>
      <c r="V783" s="2">
        <f t="shared" si="263"/>
        <v>287.79363793079938</v>
      </c>
      <c r="W783" s="2">
        <f t="shared" si="263"/>
        <v>287.79363793079938</v>
      </c>
      <c r="X783" s="2">
        <f t="shared" si="263"/>
        <v>287.79363793079938</v>
      </c>
      <c r="Y783" s="2">
        <f t="shared" si="263"/>
        <v>287.79363793079938</v>
      </c>
      <c r="Z783" s="2">
        <f t="shared" si="263"/>
        <v>287.79363793079938</v>
      </c>
      <c r="AA783" s="2">
        <f t="shared" si="263"/>
        <v>287.79363793079938</v>
      </c>
      <c r="AB783" s="2">
        <f t="shared" si="263"/>
        <v>0</v>
      </c>
      <c r="AC783" s="2">
        <f t="shared" si="263"/>
        <v>0</v>
      </c>
      <c r="AD783" s="2">
        <f t="shared" si="263"/>
        <v>0</v>
      </c>
      <c r="AE783" s="2">
        <f t="shared" si="263"/>
        <v>0</v>
      </c>
      <c r="AF783" s="2"/>
    </row>
    <row r="784" spans="1:33">
      <c r="A784" s="14"/>
      <c r="B784" t="s">
        <v>48</v>
      </c>
      <c r="D784" t="s">
        <v>744</v>
      </c>
      <c r="E784" s="30"/>
      <c r="F784" t="s">
        <v>618</v>
      </c>
      <c r="H784" s="2" t="s">
        <v>860</v>
      </c>
      <c r="I784" s="2"/>
      <c r="J784" s="2" t="s">
        <v>49</v>
      </c>
      <c r="K784" s="9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3">
      <c r="A785" s="20" t="s">
        <v>914</v>
      </c>
      <c r="B785" s="11"/>
      <c r="C785" s="11"/>
      <c r="D785" s="11"/>
      <c r="E785" s="27"/>
      <c r="F785" s="6"/>
      <c r="G785" s="19">
        <f>SUM(H785:AE785)/24</f>
        <v>2.5618512323568008</v>
      </c>
      <c r="H785" s="24">
        <f t="shared" ref="H785:AE785" si="264">$M$9*($F$9+273)^4*$F$10*$F$18</f>
        <v>2.5618512323567995</v>
      </c>
      <c r="I785" s="24">
        <f t="shared" si="264"/>
        <v>2.5618512323567995</v>
      </c>
      <c r="J785" s="24">
        <f t="shared" si="264"/>
        <v>2.5618512323567995</v>
      </c>
      <c r="K785" s="24">
        <f t="shared" si="264"/>
        <v>2.5618512323567995</v>
      </c>
      <c r="L785" s="24">
        <f t="shared" si="264"/>
        <v>2.5618512323567995</v>
      </c>
      <c r="M785" s="24">
        <f t="shared" si="264"/>
        <v>2.5618512323567995</v>
      </c>
      <c r="N785" s="24">
        <f t="shared" si="264"/>
        <v>2.5618512323567995</v>
      </c>
      <c r="O785" s="24">
        <f t="shared" si="264"/>
        <v>2.5618512323567995</v>
      </c>
      <c r="P785" s="24">
        <f t="shared" si="264"/>
        <v>2.5618512323567995</v>
      </c>
      <c r="Q785" s="24">
        <f t="shared" si="264"/>
        <v>2.5618512323567995</v>
      </c>
      <c r="R785" s="24">
        <f t="shared" si="264"/>
        <v>2.5618512323567995</v>
      </c>
      <c r="S785" s="24">
        <f t="shared" si="264"/>
        <v>2.5618512323567995</v>
      </c>
      <c r="T785" s="24">
        <f t="shared" si="264"/>
        <v>2.5618512323567995</v>
      </c>
      <c r="U785" s="24">
        <f t="shared" si="264"/>
        <v>2.5618512323567995</v>
      </c>
      <c r="V785" s="24">
        <f t="shared" si="264"/>
        <v>2.5618512323567995</v>
      </c>
      <c r="W785" s="24">
        <f t="shared" si="264"/>
        <v>2.5618512323567995</v>
      </c>
      <c r="X785" s="24">
        <f t="shared" si="264"/>
        <v>2.5618512323567995</v>
      </c>
      <c r="Y785" s="24">
        <f t="shared" si="264"/>
        <v>2.5618512323567995</v>
      </c>
      <c r="Z785" s="24">
        <f t="shared" si="264"/>
        <v>2.5618512323567995</v>
      </c>
      <c r="AA785" s="24">
        <f t="shared" si="264"/>
        <v>2.5618512323567995</v>
      </c>
      <c r="AB785" s="24">
        <f t="shared" si="264"/>
        <v>2.5618512323567995</v>
      </c>
      <c r="AC785" s="24">
        <f t="shared" si="264"/>
        <v>2.5618512323567995</v>
      </c>
      <c r="AD785" s="24">
        <f t="shared" si="264"/>
        <v>2.5618512323567995</v>
      </c>
      <c r="AE785" s="24">
        <f t="shared" si="264"/>
        <v>2.5618512323567995</v>
      </c>
      <c r="AF785" s="28"/>
      <c r="AG785" s="11"/>
    </row>
    <row r="786" spans="1:33">
      <c r="A786" s="20"/>
      <c r="B786" s="5" t="s">
        <v>923</v>
      </c>
      <c r="C786" s="11"/>
      <c r="D786" t="s">
        <v>743</v>
      </c>
      <c r="E786" s="27"/>
      <c r="F786" s="6"/>
      <c r="G786" s="28"/>
      <c r="H786" t="s">
        <v>717</v>
      </c>
      <c r="I786" s="29"/>
      <c r="J786" s="11"/>
      <c r="K786" s="2" t="s">
        <v>719</v>
      </c>
      <c r="L786" s="11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11"/>
    </row>
    <row r="787" spans="1:33">
      <c r="A787" s="20"/>
      <c r="B787" s="27" t="s">
        <v>925</v>
      </c>
      <c r="C787" s="11" t="s">
        <v>924</v>
      </c>
      <c r="E787" s="27"/>
      <c r="F787" s="6"/>
      <c r="G787" s="28"/>
      <c r="I787" s="29"/>
      <c r="J787" s="11"/>
      <c r="K787" s="2"/>
      <c r="L787" s="11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11"/>
    </row>
    <row r="788" spans="1:33">
      <c r="A788" s="20"/>
      <c r="B788" s="14"/>
      <c r="C788" t="s">
        <v>926</v>
      </c>
      <c r="E788" s="27"/>
      <c r="F788" s="6"/>
      <c r="G788" s="28"/>
      <c r="I788" s="29"/>
      <c r="J788" s="11"/>
      <c r="K788" s="2"/>
      <c r="L788" s="11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11"/>
    </row>
    <row r="789" spans="1:33">
      <c r="A789" s="3"/>
      <c r="B789" s="16" t="s">
        <v>741</v>
      </c>
      <c r="E789" s="12"/>
      <c r="F789" s="6"/>
      <c r="G789" s="32">
        <f>G760+G766+G771+G777+G779+G781+G783+G785</f>
        <v>412.07539729321041</v>
      </c>
      <c r="H789" s="2"/>
      <c r="I789" s="29"/>
      <c r="K789" s="10"/>
      <c r="L789" s="3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3">
      <c r="A790" s="20"/>
      <c r="B790" s="16" t="s">
        <v>725</v>
      </c>
      <c r="E790" s="30"/>
      <c r="F790" s="6"/>
      <c r="G790" s="32">
        <f>G757-G789</f>
        <v>3.3708580049315628</v>
      </c>
      <c r="H790" s="33"/>
      <c r="I790" s="8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3">
      <c r="A791" s="39" t="s">
        <v>511</v>
      </c>
      <c r="B791" s="16"/>
      <c r="E791" s="30"/>
      <c r="F791" s="12"/>
      <c r="G791" s="32"/>
      <c r="H791" s="33"/>
      <c r="I791" s="3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3">
      <c r="A792" s="3" t="s">
        <v>977</v>
      </c>
      <c r="E792" s="12"/>
      <c r="F792" s="6"/>
      <c r="G792" s="87" t="s">
        <v>535</v>
      </c>
      <c r="H792" s="21"/>
      <c r="I792" s="2"/>
      <c r="J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3">
      <c r="A793" s="20" t="s">
        <v>935</v>
      </c>
      <c r="B793" s="11"/>
      <c r="C793" s="11"/>
      <c r="E793" s="14" t="s">
        <v>563</v>
      </c>
      <c r="F793" s="31">
        <f>$F$15</f>
        <v>0.7</v>
      </c>
      <c r="G793" s="19">
        <f>SUM(H793:AE793)/48</f>
        <v>104.29883543123344</v>
      </c>
      <c r="H793" s="2">
        <f>H$68*$F$15</f>
        <v>21.041633982918135</v>
      </c>
      <c r="I793" s="2">
        <f t="shared" ref="I793:AE793" si="265">I$68*$F$15</f>
        <v>63.584137704130541</v>
      </c>
      <c r="J793" s="2">
        <f t="shared" si="265"/>
        <v>105.00476228302121</v>
      </c>
      <c r="K793" s="2">
        <f t="shared" si="265"/>
        <v>144.74147889456404</v>
      </c>
      <c r="L793" s="2">
        <f t="shared" si="265"/>
        <v>181.92931482694456</v>
      </c>
      <c r="M793" s="2">
        <f t="shared" si="265"/>
        <v>215.90653173783033</v>
      </c>
      <c r="N793" s="2">
        <f t="shared" si="265"/>
        <v>246.21176102777972</v>
      </c>
      <c r="O793" s="2">
        <f t="shared" si="265"/>
        <v>272.41474913397963</v>
      </c>
      <c r="P793" s="2">
        <f t="shared" si="265"/>
        <v>293.79167703972053</v>
      </c>
      <c r="Q793" s="2">
        <f t="shared" si="265"/>
        <v>310.27257106759311</v>
      </c>
      <c r="R793" s="2">
        <f t="shared" si="265"/>
        <v>321.30825460976041</v>
      </c>
      <c r="S793" s="2">
        <f t="shared" si="265"/>
        <v>326.96517804136033</v>
      </c>
      <c r="T793" s="2">
        <f t="shared" si="265"/>
        <v>326.96517804136033</v>
      </c>
      <c r="U793" s="2">
        <f t="shared" si="265"/>
        <v>321.30825460976041</v>
      </c>
      <c r="V793" s="2">
        <f t="shared" si="265"/>
        <v>310.27257106759311</v>
      </c>
      <c r="W793" s="2">
        <f t="shared" si="265"/>
        <v>293.79167703972053</v>
      </c>
      <c r="X793" s="2">
        <f t="shared" si="265"/>
        <v>272.41474913397963</v>
      </c>
      <c r="Y793" s="2">
        <f t="shared" si="265"/>
        <v>246.21176102777972</v>
      </c>
      <c r="Z793" s="2">
        <f t="shared" si="265"/>
        <v>215.90653173783033</v>
      </c>
      <c r="AA793" s="2">
        <f t="shared" si="265"/>
        <v>181.92931482694456</v>
      </c>
      <c r="AB793" s="2">
        <f t="shared" si="265"/>
        <v>144.74147889456404</v>
      </c>
      <c r="AC793" s="2">
        <f t="shared" si="265"/>
        <v>105.00476228302121</v>
      </c>
      <c r="AD793" s="2">
        <f t="shared" si="265"/>
        <v>63.584137704130541</v>
      </c>
      <c r="AE793" s="2">
        <f t="shared" si="265"/>
        <v>21.041633982918135</v>
      </c>
      <c r="AF793" s="28"/>
      <c r="AG793" s="11"/>
    </row>
    <row r="794" spans="1:33">
      <c r="A794" s="3"/>
      <c r="B794" s="5" t="s">
        <v>56</v>
      </c>
      <c r="C794" s="11"/>
      <c r="D794" t="s">
        <v>79</v>
      </c>
      <c r="F794" s="27"/>
      <c r="G794" s="2"/>
      <c r="H794" s="2" t="s">
        <v>1019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8"/>
      <c r="AG794" s="11"/>
    </row>
    <row r="795" spans="1:33">
      <c r="A795" s="20" t="s">
        <v>936</v>
      </c>
      <c r="B795" s="11"/>
      <c r="C795" s="11"/>
      <c r="D795" s="24" t="s">
        <v>1013</v>
      </c>
      <c r="E795" s="27"/>
      <c r="F795" s="6" t="s">
        <v>1049</v>
      </c>
      <c r="G795" s="19">
        <f>SUM(H795:AE795)/24</f>
        <v>294.0451576320001</v>
      </c>
      <c r="H795" s="2">
        <f t="shared" ref="H795:AE795" si="266">$M$9*($F$7+273)^4</f>
        <v>294.04515763199998</v>
      </c>
      <c r="I795" s="2">
        <f t="shared" si="266"/>
        <v>294.04515763199998</v>
      </c>
      <c r="J795" s="2">
        <f t="shared" si="266"/>
        <v>294.04515763199998</v>
      </c>
      <c r="K795" s="2">
        <f t="shared" si="266"/>
        <v>294.04515763199998</v>
      </c>
      <c r="L795" s="2">
        <f t="shared" si="266"/>
        <v>294.04515763199998</v>
      </c>
      <c r="M795" s="2">
        <f t="shared" si="266"/>
        <v>294.04515763199998</v>
      </c>
      <c r="N795" s="2">
        <f t="shared" si="266"/>
        <v>294.04515763199998</v>
      </c>
      <c r="O795" s="2">
        <f t="shared" si="266"/>
        <v>294.04515763199998</v>
      </c>
      <c r="P795" s="2">
        <f t="shared" si="266"/>
        <v>294.04515763199998</v>
      </c>
      <c r="Q795" s="2">
        <f t="shared" si="266"/>
        <v>294.04515763199998</v>
      </c>
      <c r="R795" s="2">
        <f t="shared" si="266"/>
        <v>294.04515763199998</v>
      </c>
      <c r="S795" s="2">
        <f t="shared" si="266"/>
        <v>294.04515763199998</v>
      </c>
      <c r="T795" s="2">
        <f t="shared" si="266"/>
        <v>294.04515763199998</v>
      </c>
      <c r="U795" s="2">
        <f t="shared" si="266"/>
        <v>294.04515763199998</v>
      </c>
      <c r="V795" s="2">
        <f t="shared" si="266"/>
        <v>294.04515763199998</v>
      </c>
      <c r="W795" s="2">
        <f t="shared" si="266"/>
        <v>294.04515763199998</v>
      </c>
      <c r="X795" s="2">
        <f t="shared" si="266"/>
        <v>294.04515763199998</v>
      </c>
      <c r="Y795" s="2">
        <f t="shared" si="266"/>
        <v>294.04515763199998</v>
      </c>
      <c r="Z795" s="2">
        <f t="shared" si="266"/>
        <v>294.04515763199998</v>
      </c>
      <c r="AA795" s="2">
        <f t="shared" si="266"/>
        <v>294.04515763199998</v>
      </c>
      <c r="AB795" s="2">
        <f t="shared" si="266"/>
        <v>294.04515763199998</v>
      </c>
      <c r="AC795" s="2">
        <f t="shared" si="266"/>
        <v>294.04515763199998</v>
      </c>
      <c r="AD795" s="2">
        <f t="shared" si="266"/>
        <v>294.04515763199998</v>
      </c>
      <c r="AE795" s="2">
        <f t="shared" si="266"/>
        <v>294.04515763199998</v>
      </c>
      <c r="AF795" s="28"/>
      <c r="AG795" s="11"/>
    </row>
    <row r="796" spans="1:33">
      <c r="A796" s="20"/>
      <c r="B796" s="16" t="s">
        <v>729</v>
      </c>
      <c r="C796" s="11"/>
      <c r="D796" s="11"/>
      <c r="E796" s="21"/>
      <c r="F796" s="21"/>
      <c r="G796" s="82">
        <f>G793+G795</f>
        <v>398.34399306323354</v>
      </c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8"/>
      <c r="AG796" s="11"/>
    </row>
    <row r="797" spans="1:33">
      <c r="A797" s="39" t="s">
        <v>511</v>
      </c>
      <c r="B797" s="16"/>
      <c r="C797" s="11"/>
      <c r="D797" s="11"/>
      <c r="E797" s="21"/>
      <c r="F797" s="21"/>
      <c r="G797" s="82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8"/>
      <c r="AG797" s="11"/>
    </row>
    <row r="798" spans="1:33">
      <c r="A798" s="3" t="s">
        <v>728</v>
      </c>
      <c r="B798" s="16"/>
      <c r="C798" s="11"/>
      <c r="D798" s="11"/>
      <c r="E798" s="21"/>
      <c r="F798" s="21"/>
      <c r="G798" s="82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8"/>
      <c r="AG798" s="11"/>
    </row>
    <row r="799" spans="1:33">
      <c r="A799" s="3" t="s">
        <v>877</v>
      </c>
      <c r="G799" s="19">
        <f>SUM(H799:AE799)/48</f>
        <v>3.3719680708058317</v>
      </c>
      <c r="H799" s="24">
        <f>H$68*H$718*$F$16</f>
        <v>5.9080481418045068</v>
      </c>
      <c r="I799" s="24">
        <f t="shared" ref="I799:AE799" si="267">I$68*I$718*$F$16</f>
        <v>6.4646007670244749</v>
      </c>
      <c r="J799" s="24">
        <f t="shared" si="267"/>
        <v>6.7184128829564305</v>
      </c>
      <c r="K799" s="24">
        <f t="shared" si="267"/>
        <v>6.8265385868314485</v>
      </c>
      <c r="L799" s="24">
        <f t="shared" si="267"/>
        <v>6.7891945427465572</v>
      </c>
      <c r="M799" s="24">
        <f t="shared" si="267"/>
        <v>6.8869672609909323</v>
      </c>
      <c r="N799" s="24">
        <f t="shared" si="267"/>
        <v>6.7910276037099644</v>
      </c>
      <c r="O799" s="24">
        <f t="shared" si="267"/>
        <v>6.9317144705957228</v>
      </c>
      <c r="P799" s="24">
        <f t="shared" si="267"/>
        <v>6.9596203209030989</v>
      </c>
      <c r="Q799" s="24">
        <f t="shared" si="267"/>
        <v>6.9270598791228402</v>
      </c>
      <c r="R799" s="24">
        <f t="shared" si="267"/>
        <v>6.8786183427735805</v>
      </c>
      <c r="S799" s="24">
        <f t="shared" si="267"/>
        <v>6.8454308998803963</v>
      </c>
      <c r="T799" s="24">
        <f t="shared" si="267"/>
        <v>6.8454308998803963</v>
      </c>
      <c r="U799" s="24">
        <f t="shared" si="267"/>
        <v>6.8786183427735805</v>
      </c>
      <c r="V799" s="24">
        <f t="shared" si="267"/>
        <v>6.9270598791228402</v>
      </c>
      <c r="W799" s="24">
        <f t="shared" si="267"/>
        <v>6.9596203209030989</v>
      </c>
      <c r="X799" s="24">
        <f t="shared" si="267"/>
        <v>6.9317144705957228</v>
      </c>
      <c r="Y799" s="24">
        <f t="shared" si="267"/>
        <v>6.7910276037099644</v>
      </c>
      <c r="Z799" s="24">
        <f t="shared" si="267"/>
        <v>6.8869672609909323</v>
      </c>
      <c r="AA799" s="24">
        <f t="shared" si="267"/>
        <v>6.7891945427465572</v>
      </c>
      <c r="AB799" s="24">
        <f t="shared" si="267"/>
        <v>6.8265385868314485</v>
      </c>
      <c r="AC799" s="24">
        <f t="shared" si="267"/>
        <v>6.7184128829564305</v>
      </c>
      <c r="AD799" s="24">
        <f t="shared" si="267"/>
        <v>6.4646007670244749</v>
      </c>
      <c r="AE799" s="24">
        <f t="shared" si="267"/>
        <v>5.9080481418045068</v>
      </c>
      <c r="AF799" s="28"/>
      <c r="AG799" s="11"/>
    </row>
    <row r="800" spans="1:33">
      <c r="B800" s="5" t="s">
        <v>52</v>
      </c>
      <c r="D800" t="s">
        <v>55</v>
      </c>
      <c r="G800" t="s">
        <v>894</v>
      </c>
      <c r="J800" s="2"/>
      <c r="K800" s="2" t="s">
        <v>41</v>
      </c>
      <c r="L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3">
      <c r="A801" t="s">
        <v>879</v>
      </c>
      <c r="C801" s="11"/>
      <c r="G801" s="98">
        <f>SUM(H801:AE801)/48</f>
        <v>145.55892889811156</v>
      </c>
      <c r="H801" s="97">
        <f>H$68*(1-($F$16+$F$13)*H$718)</f>
        <v>24.033268013813885</v>
      </c>
      <c r="I801" s="97">
        <f t="shared" ref="I801:AE801" si="268">I$68*(1-($F$16+$F$13)*I$718)</f>
        <v>84.240589652107246</v>
      </c>
      <c r="J801" s="97">
        <f t="shared" si="268"/>
        <v>143.15402212084331</v>
      </c>
      <c r="K801" s="97">
        <f t="shared" si="268"/>
        <v>199.81047191938057</v>
      </c>
      <c r="L801" s="97">
        <f t="shared" si="268"/>
        <v>252.97404274774792</v>
      </c>
      <c r="M801" s="97">
        <f t="shared" si="268"/>
        <v>301.41319587640407</v>
      </c>
      <c r="N801" s="97">
        <f t="shared" si="268"/>
        <v>344.8042390267583</v>
      </c>
      <c r="O801" s="97">
        <f t="shared" si="268"/>
        <v>382.09357857424902</v>
      </c>
      <c r="P801" s="97">
        <f t="shared" si="268"/>
        <v>412.60358304370823</v>
      </c>
      <c r="Q801" s="97">
        <f t="shared" si="268"/>
        <v>436.18092901985631</v>
      </c>
      <c r="R801" s="97">
        <f t="shared" si="268"/>
        <v>451.99560159002874</v>
      </c>
      <c r="S801" s="97">
        <f t="shared" si="268"/>
        <v>460.11077196977971</v>
      </c>
      <c r="T801" s="97">
        <f t="shared" si="268"/>
        <v>460.11077196977971</v>
      </c>
      <c r="U801" s="97">
        <f t="shared" si="268"/>
        <v>451.99560159002874</v>
      </c>
      <c r="V801" s="97">
        <f t="shared" si="268"/>
        <v>436.18092901985631</v>
      </c>
      <c r="W801" s="97">
        <f t="shared" si="268"/>
        <v>412.60358304370823</v>
      </c>
      <c r="X801" s="97">
        <f t="shared" si="268"/>
        <v>382.09357857424902</v>
      </c>
      <c r="Y801" s="97">
        <f t="shared" si="268"/>
        <v>344.8042390267583</v>
      </c>
      <c r="Z801" s="97">
        <f t="shared" si="268"/>
        <v>301.41319587640407</v>
      </c>
      <c r="AA801" s="97">
        <f t="shared" si="268"/>
        <v>252.97404274774792</v>
      </c>
      <c r="AB801" s="97">
        <f t="shared" si="268"/>
        <v>199.81047191938057</v>
      </c>
      <c r="AC801" s="97">
        <f t="shared" si="268"/>
        <v>143.15402212084331</v>
      </c>
      <c r="AD801" s="97">
        <f t="shared" si="268"/>
        <v>84.240589652107246</v>
      </c>
      <c r="AE801" s="97">
        <f t="shared" si="268"/>
        <v>24.033268013813885</v>
      </c>
      <c r="AF801" s="28"/>
      <c r="AG801" s="11"/>
    </row>
    <row r="802" spans="1:33">
      <c r="B802" s="24" t="s">
        <v>53</v>
      </c>
      <c r="D802" s="2" t="s">
        <v>57</v>
      </c>
      <c r="E802" s="106" t="s">
        <v>970</v>
      </c>
      <c r="G802" t="s">
        <v>853</v>
      </c>
      <c r="I802" t="s">
        <v>40</v>
      </c>
      <c r="AF802" s="28"/>
      <c r="AG802" s="11"/>
    </row>
    <row r="803" spans="1:33">
      <c r="A803" t="s">
        <v>895</v>
      </c>
      <c r="C803" s="11"/>
      <c r="D803" s="24"/>
      <c r="G803" s="97">
        <f>SUM(H803:AE803)/48</f>
        <v>101.89125022867808</v>
      </c>
      <c r="H803" s="97">
        <f>H801*$F$15</f>
        <v>16.82328760966972</v>
      </c>
      <c r="I803" s="97">
        <f t="shared" ref="I803:AE803" si="269">I801*$F$15</f>
        <v>58.968412756475068</v>
      </c>
      <c r="J803" s="97">
        <f t="shared" si="269"/>
        <v>100.20781548459031</v>
      </c>
      <c r="K803" s="97">
        <f t="shared" si="269"/>
        <v>139.86733034356638</v>
      </c>
      <c r="L803" s="97">
        <f t="shared" si="269"/>
        <v>177.08182992342353</v>
      </c>
      <c r="M803" s="97">
        <f t="shared" si="269"/>
        <v>210.98923711348283</v>
      </c>
      <c r="N803" s="97">
        <f t="shared" si="269"/>
        <v>241.3629673187308</v>
      </c>
      <c r="O803" s="97">
        <f t="shared" si="269"/>
        <v>267.46550500197429</v>
      </c>
      <c r="P803" s="97">
        <f t="shared" si="269"/>
        <v>288.82250813059574</v>
      </c>
      <c r="Q803" s="97">
        <f t="shared" si="269"/>
        <v>305.32665031389939</v>
      </c>
      <c r="R803" s="97">
        <f t="shared" si="269"/>
        <v>316.39692111302008</v>
      </c>
      <c r="S803" s="97">
        <f t="shared" si="269"/>
        <v>322.07754037884575</v>
      </c>
      <c r="T803" s="97">
        <f t="shared" si="269"/>
        <v>322.07754037884575</v>
      </c>
      <c r="U803" s="97">
        <f t="shared" si="269"/>
        <v>316.39692111302008</v>
      </c>
      <c r="V803" s="97">
        <f t="shared" si="269"/>
        <v>305.32665031389939</v>
      </c>
      <c r="W803" s="97">
        <f t="shared" si="269"/>
        <v>288.82250813059574</v>
      </c>
      <c r="X803" s="97">
        <f t="shared" si="269"/>
        <v>267.46550500197429</v>
      </c>
      <c r="Y803" s="97">
        <f t="shared" si="269"/>
        <v>241.3629673187308</v>
      </c>
      <c r="Z803" s="97">
        <f t="shared" si="269"/>
        <v>210.98923711348283</v>
      </c>
      <c r="AA803" s="97">
        <f t="shared" si="269"/>
        <v>177.08182992342353</v>
      </c>
      <c r="AB803" s="97">
        <f t="shared" si="269"/>
        <v>139.86733034356638</v>
      </c>
      <c r="AC803" s="97">
        <f t="shared" si="269"/>
        <v>100.20781548459031</v>
      </c>
      <c r="AD803" s="97">
        <f t="shared" si="269"/>
        <v>58.968412756475068</v>
      </c>
      <c r="AE803" s="97">
        <f t="shared" si="269"/>
        <v>16.82328760966972</v>
      </c>
      <c r="AF803" s="28"/>
      <c r="AG803" s="11"/>
    </row>
    <row r="804" spans="1:33">
      <c r="B804" s="24" t="s">
        <v>938</v>
      </c>
      <c r="C804" s="14" t="s">
        <v>897</v>
      </c>
      <c r="D804" s="24" t="s">
        <v>85</v>
      </c>
      <c r="I804" s="24"/>
      <c r="AF804" s="28"/>
      <c r="AG804" s="11"/>
    </row>
    <row r="805" spans="1:33">
      <c r="A805" s="20" t="s">
        <v>896</v>
      </c>
      <c r="B805" s="11"/>
      <c r="C805" s="11"/>
      <c r="E805" s="14" t="s">
        <v>563</v>
      </c>
      <c r="F805" s="31">
        <f>$F$15</f>
        <v>0.7</v>
      </c>
      <c r="G805" s="19">
        <f>SUM(H805:AE805)/48</f>
        <v>100.78646301405344</v>
      </c>
      <c r="H805" s="2">
        <f>H803*(1-($F$16+$F$13)*$H$719)</f>
        <v>16.640875940194643</v>
      </c>
      <c r="I805" s="2">
        <f t="shared" ref="I805:AE805" si="270">I803*(1-($F$16+$F$13)*$H$719)</f>
        <v>58.329029606951941</v>
      </c>
      <c r="J805" s="2">
        <f t="shared" si="270"/>
        <v>99.121281428875307</v>
      </c>
      <c r="K805" s="2">
        <f t="shared" si="270"/>
        <v>138.3507758017343</v>
      </c>
      <c r="L805" s="2">
        <f t="shared" si="270"/>
        <v>175.16176572553948</v>
      </c>
      <c r="M805" s="2">
        <f t="shared" si="270"/>
        <v>208.70152142579397</v>
      </c>
      <c r="N805" s="2">
        <f t="shared" si="270"/>
        <v>238.74591512063594</v>
      </c>
      <c r="O805" s="2">
        <f t="shared" si="270"/>
        <v>264.56542801188817</v>
      </c>
      <c r="P805" s="2">
        <f t="shared" si="270"/>
        <v>285.69086126629327</v>
      </c>
      <c r="Q805" s="2">
        <f t="shared" si="270"/>
        <v>302.01605221255215</v>
      </c>
      <c r="R805" s="2">
        <f t="shared" si="270"/>
        <v>312.96629019615773</v>
      </c>
      <c r="S805" s="2">
        <f t="shared" si="270"/>
        <v>318.58531560066609</v>
      </c>
      <c r="T805" s="2">
        <f t="shared" si="270"/>
        <v>318.58531560066609</v>
      </c>
      <c r="U805" s="2">
        <f t="shared" si="270"/>
        <v>312.96629019615773</v>
      </c>
      <c r="V805" s="2">
        <f t="shared" si="270"/>
        <v>302.01605221255215</v>
      </c>
      <c r="W805" s="2">
        <f t="shared" si="270"/>
        <v>285.69086126629327</v>
      </c>
      <c r="X805" s="2">
        <f t="shared" si="270"/>
        <v>264.56542801188817</v>
      </c>
      <c r="Y805" s="2">
        <f t="shared" si="270"/>
        <v>238.74591512063594</v>
      </c>
      <c r="Z805" s="2">
        <f t="shared" si="270"/>
        <v>208.70152142579397</v>
      </c>
      <c r="AA805" s="2">
        <f t="shared" si="270"/>
        <v>175.16176572553948</v>
      </c>
      <c r="AB805" s="2">
        <f t="shared" si="270"/>
        <v>138.3507758017343</v>
      </c>
      <c r="AC805" s="2">
        <f t="shared" si="270"/>
        <v>99.121281428875307</v>
      </c>
      <c r="AD805" s="2">
        <f t="shared" si="270"/>
        <v>58.329029606951941</v>
      </c>
      <c r="AE805" s="2">
        <f t="shared" si="270"/>
        <v>16.640875940194643</v>
      </c>
      <c r="AF805" s="28"/>
      <c r="AG805" s="11"/>
    </row>
    <row r="806" spans="1:33">
      <c r="A806" s="3"/>
      <c r="B806" s="5" t="s">
        <v>86</v>
      </c>
      <c r="C806" s="11"/>
      <c r="D806" t="s">
        <v>42</v>
      </c>
      <c r="F806" s="27"/>
      <c r="G806" s="2"/>
      <c r="H806" s="2" t="s">
        <v>898</v>
      </c>
      <c r="I806" s="2"/>
      <c r="J806" s="2" t="s">
        <v>899</v>
      </c>
      <c r="K806" s="2"/>
      <c r="L806" t="s">
        <v>258</v>
      </c>
      <c r="M806" s="2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11"/>
    </row>
    <row r="807" spans="1:33">
      <c r="A807" t="s">
        <v>834</v>
      </c>
      <c r="B807" s="5"/>
      <c r="C807" s="11"/>
      <c r="D807" s="5" t="s">
        <v>58</v>
      </c>
      <c r="F807" t="s">
        <v>89</v>
      </c>
      <c r="G807" s="97">
        <f>SUM(H807:AE807)/48</f>
        <v>1.0831247202202181</v>
      </c>
      <c r="H807" s="97">
        <f>H803*$H$719*$F$16</f>
        <v>0.1788349700736043</v>
      </c>
      <c r="I807" s="97">
        <f t="shared" ref="I807:AE807" si="271">I803*$H$719*$F$16</f>
        <v>0.62684622502267262</v>
      </c>
      <c r="J807" s="97">
        <f t="shared" si="271"/>
        <v>1.0652294663872655</v>
      </c>
      <c r="K807" s="97">
        <f t="shared" si="271"/>
        <v>1.486818178266744</v>
      </c>
      <c r="L807" s="97">
        <f t="shared" si="271"/>
        <v>1.8824158802784836</v>
      </c>
      <c r="M807" s="97">
        <f t="shared" si="271"/>
        <v>2.2428585173420261</v>
      </c>
      <c r="N807" s="97">
        <f t="shared" si="271"/>
        <v>2.5657374491125973</v>
      </c>
      <c r="O807" s="97">
        <f t="shared" si="271"/>
        <v>2.8432127353785752</v>
      </c>
      <c r="P807" s="97">
        <f t="shared" si="271"/>
        <v>3.0702420238259518</v>
      </c>
      <c r="Q807" s="97">
        <f t="shared" si="271"/>
        <v>3.2456844130855367</v>
      </c>
      <c r="R807" s="97">
        <f t="shared" si="271"/>
        <v>3.3633636439826842</v>
      </c>
      <c r="S807" s="97">
        <f t="shared" si="271"/>
        <v>3.4237497825290855</v>
      </c>
      <c r="T807" s="97">
        <f t="shared" si="271"/>
        <v>3.4237497825290855</v>
      </c>
      <c r="U807" s="97">
        <f t="shared" si="271"/>
        <v>3.3633636439826842</v>
      </c>
      <c r="V807" s="97">
        <f t="shared" si="271"/>
        <v>3.2456844130855367</v>
      </c>
      <c r="W807" s="97">
        <f t="shared" si="271"/>
        <v>3.0702420238259518</v>
      </c>
      <c r="X807" s="97">
        <f t="shared" si="271"/>
        <v>2.8432127353785752</v>
      </c>
      <c r="Y807" s="97">
        <f t="shared" si="271"/>
        <v>2.5657374491125973</v>
      </c>
      <c r="Z807" s="97">
        <f t="shared" si="271"/>
        <v>2.2428585173420261</v>
      </c>
      <c r="AA807" s="97">
        <f t="shared" si="271"/>
        <v>1.8824158802784836</v>
      </c>
      <c r="AB807" s="97">
        <f t="shared" si="271"/>
        <v>1.486818178266744</v>
      </c>
      <c r="AC807" s="97">
        <f t="shared" si="271"/>
        <v>1.0652294663872655</v>
      </c>
      <c r="AD807" s="97">
        <f t="shared" si="271"/>
        <v>0.62684622502267262</v>
      </c>
      <c r="AE807" s="97">
        <f t="shared" si="271"/>
        <v>0.1788349700736043</v>
      </c>
      <c r="AF807" s="28"/>
      <c r="AG807" s="11"/>
    </row>
    <row r="808" spans="1:33">
      <c r="A808" t="s">
        <v>930</v>
      </c>
      <c r="B808" s="5"/>
      <c r="C808" s="11"/>
      <c r="D808" s="5" t="s">
        <v>90</v>
      </c>
      <c r="G808" s="97">
        <f>SUM(H808:AE808)/48</f>
        <v>0.75818730415415236</v>
      </c>
      <c r="H808" s="97">
        <f>H807*$F$15</f>
        <v>0.125184479051523</v>
      </c>
      <c r="I808" s="97">
        <f t="shared" ref="I808:AE808" si="272">I807*$F$15</f>
        <v>0.43879235751587081</v>
      </c>
      <c r="J808" s="97">
        <f t="shared" si="272"/>
        <v>0.74566062647108577</v>
      </c>
      <c r="K808" s="97">
        <f>K807*$F$15</f>
        <v>1.0407727247867207</v>
      </c>
      <c r="L808" s="97">
        <f t="shared" si="272"/>
        <v>1.3176911161949385</v>
      </c>
      <c r="M808" s="97">
        <f t="shared" si="272"/>
        <v>1.5700009621394182</v>
      </c>
      <c r="N808" s="97">
        <f t="shared" si="272"/>
        <v>1.7960162143788179</v>
      </c>
      <c r="O808" s="97">
        <f t="shared" si="272"/>
        <v>1.9902489147650024</v>
      </c>
      <c r="P808" s="97">
        <f t="shared" si="272"/>
        <v>2.1491694166781663</v>
      </c>
      <c r="Q808" s="97">
        <f t="shared" si="272"/>
        <v>2.2719790891598755</v>
      </c>
      <c r="R808" s="97">
        <f t="shared" si="272"/>
        <v>2.3543545507878787</v>
      </c>
      <c r="S808" s="97">
        <f t="shared" si="272"/>
        <v>2.3966248477703598</v>
      </c>
      <c r="T808" s="97">
        <f t="shared" si="272"/>
        <v>2.3966248477703598</v>
      </c>
      <c r="U808" s="97">
        <f t="shared" si="272"/>
        <v>2.3543545507878787</v>
      </c>
      <c r="V808" s="97">
        <f t="shared" si="272"/>
        <v>2.2719790891598755</v>
      </c>
      <c r="W808" s="97">
        <f t="shared" si="272"/>
        <v>2.1491694166781663</v>
      </c>
      <c r="X808" s="97">
        <f t="shared" si="272"/>
        <v>1.9902489147650024</v>
      </c>
      <c r="Y808" s="97">
        <f t="shared" si="272"/>
        <v>1.7960162143788179</v>
      </c>
      <c r="Z808" s="97">
        <f t="shared" si="272"/>
        <v>1.5700009621394182</v>
      </c>
      <c r="AA808" s="97">
        <f t="shared" si="272"/>
        <v>1.3176911161949385</v>
      </c>
      <c r="AB808" s="97">
        <f t="shared" si="272"/>
        <v>1.0407727247867207</v>
      </c>
      <c r="AC808" s="97">
        <f t="shared" si="272"/>
        <v>0.74566062647108577</v>
      </c>
      <c r="AD808" s="97">
        <f t="shared" si="272"/>
        <v>0.43879235751587081</v>
      </c>
      <c r="AE808" s="97">
        <f t="shared" si="272"/>
        <v>0.125184479051523</v>
      </c>
      <c r="AF808" s="28"/>
      <c r="AG808" s="11"/>
    </row>
    <row r="809" spans="1:33">
      <c r="A809" s="20" t="s">
        <v>835</v>
      </c>
      <c r="B809" s="5"/>
      <c r="C809" s="11"/>
      <c r="G809" s="19">
        <f>SUM(H809:AE809)/48</f>
        <v>0.74996642514795431</v>
      </c>
      <c r="H809" s="24">
        <f>H808*(1-($F$16+$F$13)*$H$719)</f>
        <v>0.12382712784015627</v>
      </c>
      <c r="I809" s="24">
        <f t="shared" ref="I809:AE809" si="273">I808*(1-($F$16+$F$13)*$H$719)</f>
        <v>0.43403461644025798</v>
      </c>
      <c r="J809" s="24">
        <f t="shared" si="273"/>
        <v>0.73757557181992228</v>
      </c>
      <c r="K809" s="24">
        <f t="shared" si="273"/>
        <v>1.0294878264554725</v>
      </c>
      <c r="L809" s="24">
        <f t="shared" si="273"/>
        <v>1.3034036450457536</v>
      </c>
      <c r="M809" s="24">
        <f t="shared" si="273"/>
        <v>1.5529777438942094</v>
      </c>
      <c r="N809" s="24">
        <f t="shared" si="273"/>
        <v>1.7765423562560547</v>
      </c>
      <c r="O809" s="24">
        <f t="shared" si="273"/>
        <v>1.9686690288570559</v>
      </c>
      <c r="P809" s="24">
        <f t="shared" si="273"/>
        <v>2.1258663863563338</v>
      </c>
      <c r="Q809" s="24">
        <f t="shared" si="273"/>
        <v>2.2473444571972201</v>
      </c>
      <c r="R809" s="24">
        <f t="shared" si="273"/>
        <v>2.3288267375500777</v>
      </c>
      <c r="S809" s="24">
        <f t="shared" si="273"/>
        <v>2.3706387058383891</v>
      </c>
      <c r="T809" s="24">
        <f t="shared" si="273"/>
        <v>2.3706387058383891</v>
      </c>
      <c r="U809" s="24">
        <f t="shared" si="273"/>
        <v>2.3288267375500777</v>
      </c>
      <c r="V809" s="24">
        <f t="shared" si="273"/>
        <v>2.2473444571972201</v>
      </c>
      <c r="W809" s="24">
        <f t="shared" si="273"/>
        <v>2.1258663863563338</v>
      </c>
      <c r="X809" s="24">
        <f t="shared" si="273"/>
        <v>1.9686690288570559</v>
      </c>
      <c r="Y809" s="24">
        <f t="shared" si="273"/>
        <v>1.7765423562560547</v>
      </c>
      <c r="Z809" s="24">
        <f t="shared" si="273"/>
        <v>1.5529777438942094</v>
      </c>
      <c r="AA809" s="24">
        <f t="shared" si="273"/>
        <v>1.3034036450457536</v>
      </c>
      <c r="AB809" s="24">
        <f t="shared" si="273"/>
        <v>1.0294878264554725</v>
      </c>
      <c r="AC809" s="24">
        <f t="shared" si="273"/>
        <v>0.73757557181992228</v>
      </c>
      <c r="AD809" s="24">
        <f t="shared" si="273"/>
        <v>0.43403461644025798</v>
      </c>
      <c r="AE809" s="24">
        <f t="shared" si="273"/>
        <v>0.12382712784015627</v>
      </c>
      <c r="AF809" s="28"/>
      <c r="AG809" s="11"/>
    </row>
    <row r="810" spans="1:33">
      <c r="A810" s="20"/>
      <c r="B810" s="24" t="s">
        <v>91</v>
      </c>
      <c r="C810" s="11"/>
      <c r="D810" t="s">
        <v>42</v>
      </c>
      <c r="G810" s="27"/>
      <c r="H810" s="24" t="s">
        <v>900</v>
      </c>
      <c r="K810" t="s">
        <v>853</v>
      </c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8"/>
      <c r="AG810" s="11"/>
    </row>
    <row r="811" spans="1:33">
      <c r="A811" s="100" t="s">
        <v>836</v>
      </c>
      <c r="B811" s="5"/>
      <c r="C811" s="11"/>
      <c r="G811" s="19">
        <f>SUM(H811:AE811)/48</f>
        <v>5.580606978645289E-3</v>
      </c>
      <c r="H811" s="2">
        <f>H809^2/H805</f>
        <v>9.2141529353670891E-4</v>
      </c>
      <c r="I811" s="2">
        <f t="shared" ref="I811:AE811" si="274">I809^2/I805</f>
        <v>3.2297133955060532E-3</v>
      </c>
      <c r="J811" s="2">
        <f t="shared" si="274"/>
        <v>5.4884048743442286E-3</v>
      </c>
      <c r="K811" s="2">
        <f t="shared" si="274"/>
        <v>7.6605655348029314E-3</v>
      </c>
      <c r="L811" s="2">
        <f t="shared" si="274"/>
        <v>9.6988121516227328E-3</v>
      </c>
      <c r="M811" s="2">
        <f t="shared" si="274"/>
        <v>1.1555928565131558E-2</v>
      </c>
      <c r="N811" s="2">
        <f t="shared" si="274"/>
        <v>1.3219504685460556E-2</v>
      </c>
      <c r="O811" s="2">
        <f t="shared" si="274"/>
        <v>1.4649146618683799E-2</v>
      </c>
      <c r="P811" s="2">
        <f t="shared" si="274"/>
        <v>1.5818874543653244E-2</v>
      </c>
      <c r="Q811" s="2">
        <f t="shared" si="274"/>
        <v>1.672281016950913E-2</v>
      </c>
      <c r="R811" s="2">
        <f t="shared" si="274"/>
        <v>1.7329131422201719E-2</v>
      </c>
      <c r="S811" s="2">
        <f t="shared" si="274"/>
        <v>1.7640260233034302E-2</v>
      </c>
      <c r="T811" s="2">
        <f t="shared" si="274"/>
        <v>1.7640260233034302E-2</v>
      </c>
      <c r="U811" s="2">
        <f t="shared" si="274"/>
        <v>1.7329131422201719E-2</v>
      </c>
      <c r="V811" s="2">
        <f t="shared" si="274"/>
        <v>1.672281016950913E-2</v>
      </c>
      <c r="W811" s="2">
        <f t="shared" si="274"/>
        <v>1.5818874543653244E-2</v>
      </c>
      <c r="X811" s="2">
        <f t="shared" si="274"/>
        <v>1.4649146618683799E-2</v>
      </c>
      <c r="Y811" s="2">
        <f t="shared" si="274"/>
        <v>1.3219504685460556E-2</v>
      </c>
      <c r="Z811" s="2">
        <f t="shared" si="274"/>
        <v>1.1555928565131558E-2</v>
      </c>
      <c r="AA811" s="2">
        <f t="shared" si="274"/>
        <v>9.6988121516227328E-3</v>
      </c>
      <c r="AB811" s="2">
        <f t="shared" si="274"/>
        <v>7.6605655348029314E-3</v>
      </c>
      <c r="AC811" s="2">
        <f t="shared" si="274"/>
        <v>5.4884048743442286E-3</v>
      </c>
      <c r="AD811" s="2">
        <f t="shared" si="274"/>
        <v>3.2297133955060532E-3</v>
      </c>
      <c r="AE811" s="2">
        <f t="shared" si="274"/>
        <v>9.2141529353670891E-4</v>
      </c>
      <c r="AF811" s="28"/>
      <c r="AG811" s="11"/>
    </row>
    <row r="812" spans="1:33">
      <c r="A812" s="100"/>
      <c r="B812" s="24" t="s">
        <v>92</v>
      </c>
      <c r="C812" s="11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8"/>
      <c r="AG812" s="11"/>
    </row>
    <row r="813" spans="1:33">
      <c r="A813" s="20" t="s">
        <v>901</v>
      </c>
      <c r="B813" s="11"/>
      <c r="C813" s="11"/>
      <c r="D813" s="24"/>
      <c r="E813" s="27"/>
      <c r="F813" s="6"/>
      <c r="G813" s="19">
        <f>SUM(H813:AE813)/24</f>
        <v>287.79363793079938</v>
      </c>
      <c r="H813" s="2">
        <f t="shared" ref="H813:AE813" si="275">$M$9*($F$7+273)^4*(1-$H$719)</f>
        <v>287.79363793079938</v>
      </c>
      <c r="I813" s="2">
        <f t="shared" si="275"/>
        <v>287.79363793079938</v>
      </c>
      <c r="J813" s="2">
        <f t="shared" si="275"/>
        <v>287.79363793079938</v>
      </c>
      <c r="K813" s="2">
        <f t="shared" si="275"/>
        <v>287.79363793079938</v>
      </c>
      <c r="L813" s="2">
        <f t="shared" si="275"/>
        <v>287.79363793079938</v>
      </c>
      <c r="M813" s="2">
        <f t="shared" si="275"/>
        <v>287.79363793079938</v>
      </c>
      <c r="N813" s="2">
        <f t="shared" si="275"/>
        <v>287.79363793079938</v>
      </c>
      <c r="O813" s="2">
        <f t="shared" si="275"/>
        <v>287.79363793079938</v>
      </c>
      <c r="P813" s="2">
        <f t="shared" si="275"/>
        <v>287.79363793079938</v>
      </c>
      <c r="Q813" s="2">
        <f t="shared" si="275"/>
        <v>287.79363793079938</v>
      </c>
      <c r="R813" s="2">
        <f t="shared" si="275"/>
        <v>287.79363793079938</v>
      </c>
      <c r="S813" s="2">
        <f t="shared" si="275"/>
        <v>287.79363793079938</v>
      </c>
      <c r="T813" s="2">
        <f t="shared" si="275"/>
        <v>287.79363793079938</v>
      </c>
      <c r="U813" s="2">
        <f t="shared" si="275"/>
        <v>287.79363793079938</v>
      </c>
      <c r="V813" s="2">
        <f t="shared" si="275"/>
        <v>287.79363793079938</v>
      </c>
      <c r="W813" s="2">
        <f t="shared" si="275"/>
        <v>287.79363793079938</v>
      </c>
      <c r="X813" s="2">
        <f t="shared" si="275"/>
        <v>287.79363793079938</v>
      </c>
      <c r="Y813" s="2">
        <f t="shared" si="275"/>
        <v>287.79363793079938</v>
      </c>
      <c r="Z813" s="2">
        <f t="shared" si="275"/>
        <v>287.79363793079938</v>
      </c>
      <c r="AA813" s="2">
        <f t="shared" si="275"/>
        <v>287.79363793079938</v>
      </c>
      <c r="AB813" s="2">
        <f t="shared" si="275"/>
        <v>287.79363793079938</v>
      </c>
      <c r="AC813" s="2">
        <f t="shared" si="275"/>
        <v>287.79363793079938</v>
      </c>
      <c r="AD813" s="2">
        <f t="shared" si="275"/>
        <v>287.79363793079938</v>
      </c>
      <c r="AE813" s="2">
        <f t="shared" si="275"/>
        <v>287.79363793079938</v>
      </c>
      <c r="AF813" s="28"/>
      <c r="AG813" s="11"/>
    </row>
    <row r="814" spans="1:33">
      <c r="A814" s="14"/>
      <c r="B814" s="5" t="s">
        <v>50</v>
      </c>
      <c r="D814" t="s">
        <v>1056</v>
      </c>
      <c r="E814" s="12"/>
      <c r="F814" s="6"/>
      <c r="G814" s="2"/>
      <c r="H814" s="2" t="s">
        <v>51</v>
      </c>
      <c r="J814" s="10"/>
      <c r="K814" s="9"/>
      <c r="AF814" s="2"/>
    </row>
    <row r="815" spans="1:33">
      <c r="A815" s="20" t="s">
        <v>914</v>
      </c>
      <c r="B815" s="11"/>
      <c r="C815" s="11"/>
      <c r="D815" s="11"/>
      <c r="E815" s="27"/>
      <c r="F815" s="6"/>
      <c r="G815" s="19">
        <f>SUM(H815:AE815)/24</f>
        <v>2.5618512323568008</v>
      </c>
      <c r="H815" s="24">
        <f t="shared" ref="H815:AE815" si="276">$M$9*($F$9+273)^4*$F$10*$F$18</f>
        <v>2.5618512323567995</v>
      </c>
      <c r="I815" s="24">
        <f t="shared" si="276"/>
        <v>2.5618512323567995</v>
      </c>
      <c r="J815" s="24">
        <f t="shared" si="276"/>
        <v>2.5618512323567995</v>
      </c>
      <c r="K815" s="24">
        <f t="shared" si="276"/>
        <v>2.5618512323567995</v>
      </c>
      <c r="L815" s="24">
        <f t="shared" si="276"/>
        <v>2.5618512323567995</v>
      </c>
      <c r="M815" s="24">
        <f t="shared" si="276"/>
        <v>2.5618512323567995</v>
      </c>
      <c r="N815" s="24">
        <f t="shared" si="276"/>
        <v>2.5618512323567995</v>
      </c>
      <c r="O815" s="24">
        <f t="shared" si="276"/>
        <v>2.5618512323567995</v>
      </c>
      <c r="P815" s="24">
        <f t="shared" si="276"/>
        <v>2.5618512323567995</v>
      </c>
      <c r="Q815" s="24">
        <f t="shared" si="276"/>
        <v>2.5618512323567995</v>
      </c>
      <c r="R815" s="24">
        <f t="shared" si="276"/>
        <v>2.5618512323567995</v>
      </c>
      <c r="S815" s="24">
        <f t="shared" si="276"/>
        <v>2.5618512323567995</v>
      </c>
      <c r="T815" s="24">
        <f t="shared" si="276"/>
        <v>2.5618512323567995</v>
      </c>
      <c r="U815" s="24">
        <f t="shared" si="276"/>
        <v>2.5618512323567995</v>
      </c>
      <c r="V815" s="24">
        <f t="shared" si="276"/>
        <v>2.5618512323567995</v>
      </c>
      <c r="W815" s="24">
        <f t="shared" si="276"/>
        <v>2.5618512323567995</v>
      </c>
      <c r="X815" s="24">
        <f t="shared" si="276"/>
        <v>2.5618512323567995</v>
      </c>
      <c r="Y815" s="24">
        <f t="shared" si="276"/>
        <v>2.5618512323567995</v>
      </c>
      <c r="Z815" s="24">
        <f t="shared" si="276"/>
        <v>2.5618512323567995</v>
      </c>
      <c r="AA815" s="24">
        <f t="shared" si="276"/>
        <v>2.5618512323567995</v>
      </c>
      <c r="AB815" s="24">
        <f t="shared" si="276"/>
        <v>2.5618512323567995</v>
      </c>
      <c r="AC815" s="24">
        <f t="shared" si="276"/>
        <v>2.5618512323567995</v>
      </c>
      <c r="AD815" s="24">
        <f t="shared" si="276"/>
        <v>2.5618512323567995</v>
      </c>
      <c r="AE815" s="24">
        <f t="shared" si="276"/>
        <v>2.5618512323567995</v>
      </c>
      <c r="AF815" s="28"/>
      <c r="AG815" s="11"/>
    </row>
    <row r="816" spans="1:33">
      <c r="A816" s="20"/>
      <c r="B816" s="5" t="s">
        <v>923</v>
      </c>
      <c r="C816" s="11"/>
      <c r="D816" t="s">
        <v>743</v>
      </c>
      <c r="E816" s="27"/>
      <c r="F816" s="6"/>
      <c r="G816" s="28"/>
      <c r="H816" t="s">
        <v>717</v>
      </c>
      <c r="I816" s="29"/>
      <c r="J816" s="11"/>
      <c r="K816" s="2" t="s">
        <v>719</v>
      </c>
      <c r="L816" s="11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11"/>
    </row>
    <row r="817" spans="1:33">
      <c r="A817" s="20"/>
      <c r="B817" s="27" t="s">
        <v>925</v>
      </c>
      <c r="C817" s="11" t="s">
        <v>924</v>
      </c>
      <c r="E817" s="27"/>
      <c r="F817" s="6"/>
      <c r="G817" s="28"/>
      <c r="I817" s="29"/>
      <c r="J817" s="11"/>
      <c r="K817" s="2"/>
      <c r="L817" s="11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11"/>
    </row>
    <row r="818" spans="1:33">
      <c r="A818" s="20"/>
      <c r="B818" s="14"/>
      <c r="C818" t="s">
        <v>926</v>
      </c>
      <c r="E818" s="27"/>
      <c r="F818" s="6"/>
      <c r="G818" s="28"/>
      <c r="I818" s="29"/>
      <c r="J818" s="11"/>
      <c r="K818" s="2"/>
      <c r="L818" s="11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11"/>
    </row>
    <row r="819" spans="1:33">
      <c r="A819" s="20"/>
      <c r="B819" s="16" t="s">
        <v>742</v>
      </c>
      <c r="C819" s="11"/>
      <c r="D819" s="11"/>
      <c r="E819" s="21"/>
      <c r="F819" s="21"/>
      <c r="G819" s="82">
        <f>G799+G805+G809+G811+G813+G815</f>
        <v>395.26946728014201</v>
      </c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8"/>
      <c r="AG819" s="11"/>
    </row>
    <row r="820" spans="1:33">
      <c r="A820" s="20"/>
      <c r="B820" s="16" t="s">
        <v>730</v>
      </c>
      <c r="C820" s="11"/>
      <c r="D820" s="11"/>
      <c r="E820" s="21"/>
      <c r="F820" s="21"/>
      <c r="G820" s="82">
        <f>G796-G819</f>
        <v>3.0745257830915307</v>
      </c>
      <c r="H820" s="24"/>
      <c r="I820" s="32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8"/>
      <c r="AG820" s="11"/>
    </row>
    <row r="821" spans="1:33">
      <c r="G821" s="9"/>
      <c r="H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2"/>
    </row>
    <row r="822" spans="1:33">
      <c r="A822" s="3"/>
      <c r="G822" s="19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"/>
    </row>
    <row r="823" spans="1:33" ht="18.75">
      <c r="A823" s="85" t="s">
        <v>512</v>
      </c>
      <c r="B823" s="30" t="s">
        <v>609</v>
      </c>
      <c r="H823" s="4" t="s">
        <v>484</v>
      </c>
      <c r="I823" s="4" t="s">
        <v>486</v>
      </c>
      <c r="J823" s="4" t="s">
        <v>485</v>
      </c>
      <c r="K823" s="4" t="s">
        <v>487</v>
      </c>
      <c r="L823" s="4" t="s">
        <v>488</v>
      </c>
      <c r="M823" s="4" t="s">
        <v>489</v>
      </c>
      <c r="N823" s="4" t="s">
        <v>490</v>
      </c>
      <c r="O823" s="4" t="s">
        <v>491</v>
      </c>
      <c r="P823" s="4" t="s">
        <v>494</v>
      </c>
      <c r="Q823" s="4" t="s">
        <v>492</v>
      </c>
      <c r="R823" s="4" t="s">
        <v>495</v>
      </c>
      <c r="S823" s="4" t="s">
        <v>493</v>
      </c>
      <c r="T823" s="4" t="s">
        <v>515</v>
      </c>
      <c r="U823" s="4" t="s">
        <v>517</v>
      </c>
      <c r="V823" s="4" t="s">
        <v>518</v>
      </c>
      <c r="W823" s="4" t="s">
        <v>516</v>
      </c>
      <c r="X823" s="4" t="s">
        <v>519</v>
      </c>
      <c r="Y823" s="4" t="s">
        <v>520</v>
      </c>
      <c r="Z823" s="4" t="s">
        <v>521</v>
      </c>
      <c r="AA823" s="4" t="s">
        <v>522</v>
      </c>
      <c r="AB823" s="4" t="s">
        <v>523</v>
      </c>
      <c r="AC823" s="4" t="s">
        <v>524</v>
      </c>
      <c r="AD823" s="4" t="s">
        <v>525</v>
      </c>
      <c r="AE823" s="4" t="s">
        <v>526</v>
      </c>
      <c r="AF823" s="2"/>
    </row>
    <row r="824" spans="1:33">
      <c r="A824" s="3" t="s">
        <v>722</v>
      </c>
      <c r="G824" t="s">
        <v>535</v>
      </c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2"/>
    </row>
    <row r="825" spans="1:33">
      <c r="A825" t="s">
        <v>561</v>
      </c>
      <c r="B825" s="11"/>
      <c r="C825" s="11"/>
      <c r="D825" s="5" t="s">
        <v>93</v>
      </c>
      <c r="E825" s="12"/>
      <c r="F825" s="6"/>
      <c r="G825" s="2">
        <f>SUM(H825:AE825)/48</f>
        <v>112.65642671503603</v>
      </c>
      <c r="H825" s="2">
        <f>H$69</f>
        <v>22.187571014002408</v>
      </c>
      <c r="I825" s="2">
        <f t="shared" ref="I825:AE825" si="277">I$69</f>
        <v>68.44569674320401</v>
      </c>
      <c r="J825" s="2">
        <f t="shared" si="277"/>
        <v>113.19881966918334</v>
      </c>
      <c r="K825" s="2">
        <f t="shared" si="277"/>
        <v>156.17102515167278</v>
      </c>
      <c r="L825" s="2">
        <f t="shared" si="277"/>
        <v>196.39052874239931</v>
      </c>
      <c r="M825" s="2">
        <f t="shared" si="277"/>
        <v>233.14658123534468</v>
      </c>
      <c r="N825" s="2">
        <f t="shared" si="277"/>
        <v>265.98642726339813</v>
      </c>
      <c r="O825" s="2">
        <f t="shared" si="277"/>
        <v>294.24221445440293</v>
      </c>
      <c r="P825" s="2">
        <f t="shared" si="277"/>
        <v>317.49561422025221</v>
      </c>
      <c r="Q825" s="2">
        <f t="shared" si="277"/>
        <v>335.33519649632308</v>
      </c>
      <c r="R825" s="2">
        <f t="shared" si="277"/>
        <v>347.57939377373737</v>
      </c>
      <c r="S825" s="2">
        <f t="shared" si="277"/>
        <v>353.57517239694448</v>
      </c>
      <c r="T825" s="2">
        <f t="shared" si="277"/>
        <v>353.57517239694448</v>
      </c>
      <c r="U825" s="2">
        <f t="shared" si="277"/>
        <v>347.57939377373737</v>
      </c>
      <c r="V825" s="2">
        <f t="shared" si="277"/>
        <v>335.33519649632308</v>
      </c>
      <c r="W825" s="2">
        <f t="shared" si="277"/>
        <v>317.49561422025221</v>
      </c>
      <c r="X825" s="2">
        <f t="shared" si="277"/>
        <v>294.24221445440293</v>
      </c>
      <c r="Y825" s="2">
        <f t="shared" si="277"/>
        <v>265.98642726339813</v>
      </c>
      <c r="Z825" s="2">
        <f t="shared" si="277"/>
        <v>233.14658123534468</v>
      </c>
      <c r="AA825" s="2">
        <f t="shared" si="277"/>
        <v>196.39052874239931</v>
      </c>
      <c r="AB825" s="2">
        <f t="shared" si="277"/>
        <v>156.17102515167278</v>
      </c>
      <c r="AC825" s="2">
        <f t="shared" si="277"/>
        <v>113.19881966918334</v>
      </c>
      <c r="AD825" s="2">
        <f t="shared" si="277"/>
        <v>68.44569674320401</v>
      </c>
      <c r="AE825" s="2">
        <f t="shared" si="277"/>
        <v>22.187571014002408</v>
      </c>
      <c r="AF825" s="2"/>
    </row>
    <row r="826" spans="1:33">
      <c r="A826" s="20" t="s">
        <v>824</v>
      </c>
      <c r="B826" s="11"/>
      <c r="C826" s="11"/>
      <c r="D826" t="s">
        <v>94</v>
      </c>
      <c r="E826" s="12"/>
      <c r="F826" s="18"/>
      <c r="G826" s="19">
        <f>SUM(H826:AE826)/48</f>
        <v>78.859498700525236</v>
      </c>
      <c r="H826" s="2">
        <f>H$69*$U$20</f>
        <v>15.531299709801685</v>
      </c>
      <c r="I826" s="2">
        <f t="shared" ref="I826:AE826" si="278">I$69*$U$20</f>
        <v>47.911987720242806</v>
      </c>
      <c r="J826" s="2">
        <f t="shared" si="278"/>
        <v>79.23917376842833</v>
      </c>
      <c r="K826" s="2">
        <f t="shared" si="278"/>
        <v>109.31971760617094</v>
      </c>
      <c r="L826" s="2">
        <f t="shared" si="278"/>
        <v>137.47337011967952</v>
      </c>
      <c r="M826" s="2">
        <f t="shared" si="278"/>
        <v>163.20260686474126</v>
      </c>
      <c r="N826" s="2">
        <f t="shared" si="278"/>
        <v>186.19049908437867</v>
      </c>
      <c r="O826" s="2">
        <f t="shared" si="278"/>
        <v>205.96955011808203</v>
      </c>
      <c r="P826" s="2">
        <f t="shared" si="278"/>
        <v>222.24692995417652</v>
      </c>
      <c r="Q826" s="2">
        <f t="shared" si="278"/>
        <v>234.73463754742613</v>
      </c>
      <c r="R826" s="2">
        <f t="shared" si="278"/>
        <v>243.30557564161614</v>
      </c>
      <c r="S826" s="2">
        <f t="shared" si="278"/>
        <v>247.50262067786113</v>
      </c>
      <c r="T826" s="2">
        <f t="shared" si="278"/>
        <v>247.50262067786113</v>
      </c>
      <c r="U826" s="2">
        <f t="shared" si="278"/>
        <v>243.30557564161614</v>
      </c>
      <c r="V826" s="2">
        <f t="shared" si="278"/>
        <v>234.73463754742613</v>
      </c>
      <c r="W826" s="2">
        <f t="shared" si="278"/>
        <v>222.24692995417652</v>
      </c>
      <c r="X826" s="2">
        <f t="shared" si="278"/>
        <v>205.96955011808203</v>
      </c>
      <c r="Y826" s="2">
        <f t="shared" si="278"/>
        <v>186.19049908437867</v>
      </c>
      <c r="Z826" s="2">
        <f t="shared" si="278"/>
        <v>163.20260686474126</v>
      </c>
      <c r="AA826" s="2">
        <f t="shared" si="278"/>
        <v>137.47337011967952</v>
      </c>
      <c r="AB826" s="2">
        <f t="shared" si="278"/>
        <v>109.31971760617094</v>
      </c>
      <c r="AC826" s="2">
        <f t="shared" si="278"/>
        <v>79.23917376842833</v>
      </c>
      <c r="AD826" s="2">
        <f t="shared" si="278"/>
        <v>47.911987720242806</v>
      </c>
      <c r="AE826" s="2">
        <f t="shared" si="278"/>
        <v>15.531299709801685</v>
      </c>
      <c r="AF826" s="2"/>
    </row>
    <row r="827" spans="1:33">
      <c r="A827" s="20"/>
      <c r="B827" s="5" t="s">
        <v>96</v>
      </c>
      <c r="C827" s="11"/>
      <c r="D827" t="s">
        <v>95</v>
      </c>
      <c r="E827" s="12"/>
      <c r="F827" s="18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3">
      <c r="A828" s="20" t="s">
        <v>825</v>
      </c>
      <c r="D828" t="s">
        <v>97</v>
      </c>
      <c r="G828" s="19">
        <f>SUM(H828:AE828)/24</f>
        <v>294.0451576320001</v>
      </c>
      <c r="H828" s="2">
        <f>$U$24</f>
        <v>294.04515763199998</v>
      </c>
      <c r="I828" s="2">
        <f t="shared" ref="I828:AE828" si="279">$U$24</f>
        <v>294.04515763199998</v>
      </c>
      <c r="J828" s="2">
        <f t="shared" si="279"/>
        <v>294.04515763199998</v>
      </c>
      <c r="K828" s="2">
        <f t="shared" si="279"/>
        <v>294.04515763199998</v>
      </c>
      <c r="L828" s="2">
        <f t="shared" si="279"/>
        <v>294.04515763199998</v>
      </c>
      <c r="M828" s="2">
        <f t="shared" si="279"/>
        <v>294.04515763199998</v>
      </c>
      <c r="N828" s="2">
        <f t="shared" si="279"/>
        <v>294.04515763199998</v>
      </c>
      <c r="O828" s="2">
        <f t="shared" si="279"/>
        <v>294.04515763199998</v>
      </c>
      <c r="P828" s="2">
        <f t="shared" si="279"/>
        <v>294.04515763199998</v>
      </c>
      <c r="Q828" s="2">
        <f t="shared" si="279"/>
        <v>294.04515763199998</v>
      </c>
      <c r="R828" s="2">
        <f t="shared" si="279"/>
        <v>294.04515763199998</v>
      </c>
      <c r="S828" s="2">
        <f t="shared" si="279"/>
        <v>294.04515763199998</v>
      </c>
      <c r="T828" s="2">
        <f t="shared" si="279"/>
        <v>294.04515763199998</v>
      </c>
      <c r="U828" s="2">
        <f t="shared" si="279"/>
        <v>294.04515763199998</v>
      </c>
      <c r="V828" s="2">
        <f t="shared" si="279"/>
        <v>294.04515763199998</v>
      </c>
      <c r="W828" s="2">
        <f t="shared" si="279"/>
        <v>294.04515763199998</v>
      </c>
      <c r="X828" s="2">
        <f t="shared" si="279"/>
        <v>294.04515763199998</v>
      </c>
      <c r="Y828" s="2">
        <f t="shared" si="279"/>
        <v>294.04515763199998</v>
      </c>
      <c r="Z828" s="2">
        <f t="shared" si="279"/>
        <v>294.04515763199998</v>
      </c>
      <c r="AA828" s="2">
        <f t="shared" si="279"/>
        <v>294.04515763199998</v>
      </c>
      <c r="AB828" s="2">
        <f t="shared" si="279"/>
        <v>294.04515763199998</v>
      </c>
      <c r="AC828" s="2">
        <f t="shared" si="279"/>
        <v>294.04515763199998</v>
      </c>
      <c r="AD828" s="2">
        <f t="shared" si="279"/>
        <v>294.04515763199998</v>
      </c>
      <c r="AE828" s="2">
        <f t="shared" si="279"/>
        <v>294.04515763199998</v>
      </c>
      <c r="AF828" s="2"/>
    </row>
    <row r="829" spans="1:33">
      <c r="A829" s="20"/>
      <c r="B829" s="16" t="s">
        <v>720</v>
      </c>
      <c r="G829" s="32">
        <f>G826+G828</f>
        <v>372.90465633252535</v>
      </c>
      <c r="H829" s="3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3">
      <c r="A830" s="39" t="s">
        <v>512</v>
      </c>
      <c r="B830" s="16"/>
      <c r="F830" s="12"/>
      <c r="G830" s="32"/>
      <c r="H830" s="3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3">
      <c r="A831" s="3" t="s">
        <v>723</v>
      </c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3" s="27" customFormat="1">
      <c r="A832" s="27" t="s">
        <v>1031</v>
      </c>
      <c r="G832" s="55"/>
      <c r="H832" s="101">
        <f ca="1">Tabelle3!D$41</f>
        <v>0.46660637873686195</v>
      </c>
      <c r="I832" s="101">
        <f ca="1">Tabelle3!E$41</f>
        <v>0.18422836544877791</v>
      </c>
      <c r="J832" s="101">
        <f ca="1">Tabelle3!F$41</f>
        <v>0.11582919454335867</v>
      </c>
      <c r="K832" s="101">
        <f ca="1">Tabelle3!G$41</f>
        <v>8.5934932301461278E-2</v>
      </c>
      <c r="L832" s="101">
        <f ca="1">Tabelle3!H$41</f>
        <v>6.9278812869983789E-2</v>
      </c>
      <c r="M832" s="101">
        <f ca="1">Tabelle3!I$41</f>
        <v>5.7757212300289414E-2</v>
      </c>
      <c r="N832" s="101">
        <f ca="1">Tabelle3!J$41</f>
        <v>5.1296390602214303E-2</v>
      </c>
      <c r="O832" s="101">
        <f ca="1">Tabelle3!K$41</f>
        <v>4.6882340071944584E-2</v>
      </c>
      <c r="P832" s="101">
        <f ca="1">Tabelle3!L$41</f>
        <v>4.3234364427093566E-2</v>
      </c>
      <c r="Q832" s="101">
        <f ca="1">Tabelle3!M$41</f>
        <v>4.0425423180558293E-2</v>
      </c>
      <c r="R832" s="101">
        <f ca="1">Tabelle3!N$41</f>
        <v>3.8945207568596034E-2</v>
      </c>
      <c r="S832" s="101">
        <f ca="1">Tabelle3!O$41</f>
        <v>3.8468073839935904E-2</v>
      </c>
      <c r="T832" s="101">
        <f ca="1">Tabelle3!P$41</f>
        <v>3.8468073839935904E-2</v>
      </c>
      <c r="U832" s="101">
        <f ca="1">Tabelle3!Q$41</f>
        <v>3.8945207568596034E-2</v>
      </c>
      <c r="V832" s="101">
        <f ca="1">Tabelle3!R$41</f>
        <v>4.0425423180558293E-2</v>
      </c>
      <c r="W832" s="101">
        <f ca="1">Tabelle3!S$41</f>
        <v>4.3234364427093566E-2</v>
      </c>
      <c r="X832" s="101">
        <f ca="1">Tabelle3!T$41</f>
        <v>4.6882340071944584E-2</v>
      </c>
      <c r="Y832" s="101">
        <f ca="1">Tabelle3!U$41</f>
        <v>5.1296390602214303E-2</v>
      </c>
      <c r="Z832" s="101">
        <f ca="1">Tabelle3!V$41</f>
        <v>5.7757212300289414E-2</v>
      </c>
      <c r="AA832" s="101">
        <f ca="1">Tabelle3!W$41</f>
        <v>6.9278812869983789E-2</v>
      </c>
      <c r="AB832" s="101">
        <f ca="1">Tabelle3!X$41</f>
        <v>8.5934932301461278E-2</v>
      </c>
      <c r="AC832" s="101">
        <f ca="1">Tabelle3!Y$41</f>
        <v>0.11582919454335867</v>
      </c>
      <c r="AD832" s="101">
        <f ca="1">Tabelle3!Z$41</f>
        <v>0.18422836544877791</v>
      </c>
      <c r="AE832" s="101">
        <f ca="1">Tabelle3!AA$41</f>
        <v>0.46660637873686195</v>
      </c>
      <c r="AF832" s="55"/>
    </row>
    <row r="833" spans="1:33" s="27" customFormat="1">
      <c r="A833" s="27" t="s">
        <v>830</v>
      </c>
      <c r="F833" s="10">
        <f ca="1">Tabelle3!J$80</f>
        <v>2.1260406910099214</v>
      </c>
      <c r="H833" s="107">
        <f ca="1">$F$10*$F$142</f>
        <v>2.1260406910099214E-2</v>
      </c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55"/>
    </row>
    <row r="834" spans="1:33" ht="15" customHeight="1">
      <c r="A834" s="3" t="s">
        <v>831</v>
      </c>
      <c r="B834" s="11"/>
      <c r="C834" s="11"/>
      <c r="D834" s="11"/>
      <c r="E834" s="27"/>
      <c r="F834" s="6"/>
      <c r="G834" s="19">
        <f>SUM(H834:AE834)/48</f>
        <v>3.3005412057703345</v>
      </c>
      <c r="H834" s="24">
        <f>H$69*H$832*$F$16</f>
        <v>5.1764310819053136</v>
      </c>
      <c r="I834" s="24">
        <f t="shared" ref="I834:AE834" si="280">I$69*I$832*$F$16</f>
        <v>6.3048194165016085</v>
      </c>
      <c r="J834" s="24">
        <f t="shared" si="280"/>
        <v>6.5558640527702066</v>
      </c>
      <c r="K834" s="24">
        <f t="shared" si="280"/>
        <v>6.7102732369294031</v>
      </c>
      <c r="L834" s="24">
        <f t="shared" si="280"/>
        <v>6.8028513450909269</v>
      </c>
      <c r="M834" s="24">
        <f t="shared" si="280"/>
        <v>6.7329482947482377</v>
      </c>
      <c r="N834" s="24">
        <f t="shared" si="280"/>
        <v>6.8220718338953672</v>
      </c>
      <c r="O834" s="24">
        <f t="shared" si="280"/>
        <v>6.8973817807866826</v>
      </c>
      <c r="P834" s="24">
        <f t="shared" si="280"/>
        <v>6.8633605446011474</v>
      </c>
      <c r="Q834" s="24">
        <f t="shared" si="280"/>
        <v>6.7780336128497645</v>
      </c>
      <c r="R834" s="24">
        <f t="shared" si="280"/>
        <v>6.7682758185424889</v>
      </c>
      <c r="S834" s="24">
        <f t="shared" si="280"/>
        <v>6.8006779198668639</v>
      </c>
      <c r="T834" s="24">
        <f t="shared" si="280"/>
        <v>6.8006779198668639</v>
      </c>
      <c r="U834" s="24">
        <f t="shared" si="280"/>
        <v>6.7682758185424889</v>
      </c>
      <c r="V834" s="24">
        <f t="shared" si="280"/>
        <v>6.7780336128497645</v>
      </c>
      <c r="W834" s="24">
        <f t="shared" si="280"/>
        <v>6.8633605446011474</v>
      </c>
      <c r="X834" s="24">
        <f t="shared" si="280"/>
        <v>6.8973817807866826</v>
      </c>
      <c r="Y834" s="24">
        <f t="shared" si="280"/>
        <v>6.8220718338953672</v>
      </c>
      <c r="Z834" s="24">
        <f t="shared" si="280"/>
        <v>6.7329482947482377</v>
      </c>
      <c r="AA834" s="24">
        <f t="shared" si="280"/>
        <v>6.8028513450909269</v>
      </c>
      <c r="AB834" s="24">
        <f t="shared" si="280"/>
        <v>6.7102732369294031</v>
      </c>
      <c r="AC834" s="24">
        <f t="shared" si="280"/>
        <v>6.5558640527702066</v>
      </c>
      <c r="AD834" s="24">
        <f t="shared" si="280"/>
        <v>6.3048194165016085</v>
      </c>
      <c r="AE834" s="24">
        <f t="shared" si="280"/>
        <v>5.1764310819053136</v>
      </c>
      <c r="AF834" s="28"/>
      <c r="AG834" s="11"/>
    </row>
    <row r="835" spans="1:33">
      <c r="A835" s="3"/>
      <c r="B835" s="5" t="s">
        <v>101</v>
      </c>
      <c r="C835" s="11"/>
      <c r="D835" t="s">
        <v>129</v>
      </c>
      <c r="F835" s="27"/>
      <c r="G835" t="s">
        <v>854</v>
      </c>
      <c r="I835" s="2"/>
      <c r="K835" s="2"/>
      <c r="M835" s="2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11"/>
    </row>
    <row r="836" spans="1:33">
      <c r="A836" s="3"/>
      <c r="C836" s="11"/>
      <c r="D836" s="2" t="s">
        <v>102</v>
      </c>
      <c r="F836" s="27"/>
      <c r="G836" s="2"/>
      <c r="I836" s="2"/>
      <c r="K836" s="2"/>
      <c r="M836" s="2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11"/>
    </row>
    <row r="837" spans="1:33">
      <c r="A837" t="s">
        <v>879</v>
      </c>
      <c r="C837" s="11"/>
      <c r="G837" s="98">
        <f>SUM(H837:AE837)/48</f>
        <v>109.28987468515031</v>
      </c>
      <c r="H837" s="97">
        <f>H$69*(1-($F$16+$F$13)*H$832)</f>
        <v>16.907611310458989</v>
      </c>
      <c r="I837" s="97">
        <f>I$69*(1-($F$16+$F$13)*I$832)</f>
        <v>62.014780938372368</v>
      </c>
      <c r="J837" s="97">
        <f t="shared" ref="J837:AE837" si="281">J$69*(1-($F$16+$F$13)*J$832)</f>
        <v>106.51183833535772</v>
      </c>
      <c r="K837" s="97">
        <f t="shared" si="281"/>
        <v>149.3265464500048</v>
      </c>
      <c r="L837" s="97">
        <f t="shared" si="281"/>
        <v>189.45162037040657</v>
      </c>
      <c r="M837" s="97">
        <f t="shared" si="281"/>
        <v>226.27897397470147</v>
      </c>
      <c r="N837" s="97">
        <f t="shared" si="281"/>
        <v>259.02791399282489</v>
      </c>
      <c r="O837" s="97">
        <f t="shared" si="281"/>
        <v>287.20688503800051</v>
      </c>
      <c r="P837" s="97">
        <f t="shared" si="281"/>
        <v>310.49498646475905</v>
      </c>
      <c r="Q837" s="97">
        <f t="shared" si="281"/>
        <v>328.42160221121634</v>
      </c>
      <c r="R837" s="97">
        <f t="shared" si="281"/>
        <v>340.67575243882402</v>
      </c>
      <c r="S837" s="97">
        <f t="shared" si="281"/>
        <v>346.63848091868027</v>
      </c>
      <c r="T837" s="97">
        <f t="shared" si="281"/>
        <v>346.63848091868027</v>
      </c>
      <c r="U837" s="97">
        <f t="shared" si="281"/>
        <v>340.67575243882402</v>
      </c>
      <c r="V837" s="97">
        <f t="shared" si="281"/>
        <v>328.42160221121634</v>
      </c>
      <c r="W837" s="97">
        <f t="shared" si="281"/>
        <v>310.49498646475905</v>
      </c>
      <c r="X837" s="97">
        <f t="shared" si="281"/>
        <v>287.20688503800051</v>
      </c>
      <c r="Y837" s="97">
        <f t="shared" si="281"/>
        <v>259.02791399282489</v>
      </c>
      <c r="Z837" s="97">
        <f t="shared" si="281"/>
        <v>226.27897397470147</v>
      </c>
      <c r="AA837" s="97">
        <f t="shared" si="281"/>
        <v>189.45162037040657</v>
      </c>
      <c r="AB837" s="97">
        <f t="shared" si="281"/>
        <v>149.3265464500048</v>
      </c>
      <c r="AC837" s="97">
        <f t="shared" si="281"/>
        <v>106.51183833535772</v>
      </c>
      <c r="AD837" s="97">
        <f t="shared" si="281"/>
        <v>62.014780938372368</v>
      </c>
      <c r="AE837" s="97">
        <f t="shared" si="281"/>
        <v>16.907611310458989</v>
      </c>
      <c r="AF837" s="28"/>
      <c r="AG837" s="11"/>
    </row>
    <row r="838" spans="1:33">
      <c r="B838" s="24" t="s">
        <v>103</v>
      </c>
      <c r="D838" s="2" t="s">
        <v>123</v>
      </c>
      <c r="E838" s="24" t="s">
        <v>900</v>
      </c>
      <c r="H838" t="s">
        <v>853</v>
      </c>
      <c r="AF838" s="28"/>
      <c r="AG838" s="11"/>
    </row>
    <row r="839" spans="1:33">
      <c r="A839" t="s">
        <v>832</v>
      </c>
      <c r="C839" s="11"/>
      <c r="D839" s="24"/>
      <c r="G839" s="97">
        <f>SUM(H839:AE839)/48</f>
        <v>76.502912279605212</v>
      </c>
      <c r="H839" s="97">
        <f>H837*$U$20</f>
        <v>11.835327917321292</v>
      </c>
      <c r="I839" s="97">
        <f t="shared" ref="I839:AE839" si="282">I837*$U$20</f>
        <v>43.410346656860654</v>
      </c>
      <c r="J839" s="97">
        <f t="shared" si="282"/>
        <v>74.558286834750405</v>
      </c>
      <c r="K839" s="97">
        <f t="shared" si="282"/>
        <v>104.52858251500335</v>
      </c>
      <c r="L839" s="97">
        <f t="shared" si="282"/>
        <v>132.61613425928459</v>
      </c>
      <c r="M839" s="97">
        <f t="shared" si="282"/>
        <v>158.39528178229102</v>
      </c>
      <c r="N839" s="97">
        <f t="shared" si="282"/>
        <v>181.3195397949774</v>
      </c>
      <c r="O839" s="97">
        <f t="shared" si="282"/>
        <v>201.04481952660035</v>
      </c>
      <c r="P839" s="97">
        <f t="shared" si="282"/>
        <v>217.34649052533132</v>
      </c>
      <c r="Q839" s="97">
        <f t="shared" si="282"/>
        <v>229.89512154785143</v>
      </c>
      <c r="R839" s="97">
        <f t="shared" si="282"/>
        <v>238.47302670717679</v>
      </c>
      <c r="S839" s="97">
        <f t="shared" si="282"/>
        <v>242.64693664307617</v>
      </c>
      <c r="T839" s="97">
        <f t="shared" si="282"/>
        <v>242.64693664307617</v>
      </c>
      <c r="U839" s="97">
        <f t="shared" si="282"/>
        <v>238.47302670717679</v>
      </c>
      <c r="V839" s="97">
        <f t="shared" si="282"/>
        <v>229.89512154785143</v>
      </c>
      <c r="W839" s="97">
        <f t="shared" si="282"/>
        <v>217.34649052533132</v>
      </c>
      <c r="X839" s="97">
        <f t="shared" si="282"/>
        <v>201.04481952660035</v>
      </c>
      <c r="Y839" s="97">
        <f t="shared" si="282"/>
        <v>181.3195397949774</v>
      </c>
      <c r="Z839" s="97">
        <f t="shared" si="282"/>
        <v>158.39528178229102</v>
      </c>
      <c r="AA839" s="97">
        <f t="shared" si="282"/>
        <v>132.61613425928459</v>
      </c>
      <c r="AB839" s="97">
        <f t="shared" si="282"/>
        <v>104.52858251500335</v>
      </c>
      <c r="AC839" s="97">
        <f t="shared" si="282"/>
        <v>74.558286834750405</v>
      </c>
      <c r="AD839" s="97">
        <f t="shared" si="282"/>
        <v>43.410346656860654</v>
      </c>
      <c r="AE839" s="97">
        <f t="shared" si="282"/>
        <v>11.835327917321292</v>
      </c>
      <c r="AF839" s="28"/>
      <c r="AG839" s="11"/>
    </row>
    <row r="840" spans="1:33">
      <c r="B840" s="24" t="s">
        <v>912</v>
      </c>
      <c r="C840" s="14" t="s">
        <v>106</v>
      </c>
      <c r="D840" s="24" t="s">
        <v>109</v>
      </c>
      <c r="AF840" s="28"/>
      <c r="AG840" s="11"/>
    </row>
    <row r="841" spans="1:33">
      <c r="A841" s="20" t="s">
        <v>833</v>
      </c>
      <c r="B841" s="11"/>
      <c r="C841" s="11"/>
      <c r="D841" s="11"/>
      <c r="E841" s="27"/>
      <c r="F841" s="6"/>
      <c r="G841" s="19">
        <f>SUM(H841:AE841)/48</f>
        <v>75.673405926720477</v>
      </c>
      <c r="H841" s="24">
        <f>H839*(1-($F$16+$F$13)*$H$833)</f>
        <v>11.706999734728571</v>
      </c>
      <c r="I841" s="24">
        <f>I839*(1-($F$16+$F$13)*$H$833)</f>
        <v>42.939656623503659</v>
      </c>
      <c r="J841" s="24">
        <f t="shared" ref="J841:AE841" si="283">J839*(1-($F$16+$F$13)*$H$833)</f>
        <v>73.749865681270791</v>
      </c>
      <c r="K841" s="24">
        <f t="shared" si="283"/>
        <v>103.39519921402088</v>
      </c>
      <c r="L841" s="24">
        <f t="shared" si="283"/>
        <v>131.17820304091427</v>
      </c>
      <c r="M841" s="24">
        <f t="shared" si="283"/>
        <v>156.67783222919203</v>
      </c>
      <c r="N841" s="24">
        <f t="shared" si="283"/>
        <v>179.35352692461291</v>
      </c>
      <c r="O841" s="24">
        <f t="shared" si="283"/>
        <v>198.86492924474584</v>
      </c>
      <c r="P841" s="24">
        <f t="shared" si="283"/>
        <v>214.98984436251553</v>
      </c>
      <c r="Q841" s="24">
        <f t="shared" si="283"/>
        <v>227.40241299416687</v>
      </c>
      <c r="R841" s="24">
        <f t="shared" si="283"/>
        <v>235.88730957888924</v>
      </c>
      <c r="S841" s="24">
        <f t="shared" si="283"/>
        <v>240.01596261273053</v>
      </c>
      <c r="T841" s="24">
        <f t="shared" si="283"/>
        <v>240.01596261273053</v>
      </c>
      <c r="U841" s="24">
        <f t="shared" si="283"/>
        <v>235.88730957888924</v>
      </c>
      <c r="V841" s="24">
        <f t="shared" si="283"/>
        <v>227.40241299416687</v>
      </c>
      <c r="W841" s="24">
        <f t="shared" si="283"/>
        <v>214.98984436251553</v>
      </c>
      <c r="X841" s="24">
        <f t="shared" si="283"/>
        <v>198.86492924474584</v>
      </c>
      <c r="Y841" s="24">
        <f t="shared" si="283"/>
        <v>179.35352692461291</v>
      </c>
      <c r="Z841" s="24">
        <f t="shared" si="283"/>
        <v>156.67783222919203</v>
      </c>
      <c r="AA841" s="24">
        <f t="shared" si="283"/>
        <v>131.17820304091427</v>
      </c>
      <c r="AB841" s="24">
        <f t="shared" si="283"/>
        <v>103.39519921402088</v>
      </c>
      <c r="AC841" s="24">
        <f t="shared" si="283"/>
        <v>73.749865681270791</v>
      </c>
      <c r="AD841" s="24">
        <f t="shared" si="283"/>
        <v>42.939656623503659</v>
      </c>
      <c r="AE841" s="24">
        <f t="shared" si="283"/>
        <v>11.706999734728571</v>
      </c>
      <c r="AF841" s="28"/>
      <c r="AG841" s="11"/>
    </row>
    <row r="842" spans="1:33">
      <c r="A842" s="20"/>
      <c r="B842" s="24" t="s">
        <v>130</v>
      </c>
      <c r="C842" s="11"/>
      <c r="D842" t="s">
        <v>110</v>
      </c>
      <c r="G842" s="27"/>
      <c r="H842" s="24" t="s">
        <v>900</v>
      </c>
      <c r="K842" t="s">
        <v>853</v>
      </c>
      <c r="M842" s="28"/>
      <c r="O842" s="28"/>
      <c r="P842" s="28"/>
      <c r="Q842" s="11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11"/>
    </row>
    <row r="843" spans="1:33">
      <c r="A843" t="s">
        <v>834</v>
      </c>
      <c r="B843" s="5"/>
      <c r="C843" s="11"/>
      <c r="D843" s="5" t="s">
        <v>122</v>
      </c>
      <c r="F843" t="s">
        <v>259</v>
      </c>
      <c r="G843" s="97">
        <f>SUM(H843:AE843)/48</f>
        <v>0.81324152243601622</v>
      </c>
      <c r="H843" s="97">
        <f>H839*$H$833*$F$16</f>
        <v>0.12581194371835386</v>
      </c>
      <c r="I843" s="97">
        <f t="shared" ref="I843:AE843" si="284">I839*$H$833*$F$16</f>
        <v>0.46146081701666125</v>
      </c>
      <c r="J843" s="97">
        <f t="shared" si="284"/>
        <v>0.79256975831334342</v>
      </c>
      <c r="K843" s="97">
        <f t="shared" si="284"/>
        <v>1.1111600990024266</v>
      </c>
      <c r="L843" s="97">
        <f t="shared" si="284"/>
        <v>1.4097364885983696</v>
      </c>
      <c r="M843" s="97">
        <f t="shared" si="284"/>
        <v>1.6837740716656662</v>
      </c>
      <c r="N843" s="97">
        <f t="shared" si="284"/>
        <v>1.9274635983965736</v>
      </c>
      <c r="O843" s="97">
        <f t="shared" si="284"/>
        <v>2.1371473351514916</v>
      </c>
      <c r="P843" s="97">
        <f t="shared" si="284"/>
        <v>2.3104374145252837</v>
      </c>
      <c r="Q843" s="97">
        <f t="shared" si="284"/>
        <v>2.4438319153770198</v>
      </c>
      <c r="R843" s="97">
        <f t="shared" si="284"/>
        <v>2.5350167924387677</v>
      </c>
      <c r="S843" s="97">
        <f t="shared" si="284"/>
        <v>2.5793863042604315</v>
      </c>
      <c r="T843" s="97">
        <f t="shared" si="284"/>
        <v>2.5793863042604315</v>
      </c>
      <c r="U843" s="97">
        <f t="shared" si="284"/>
        <v>2.5350167924387677</v>
      </c>
      <c r="V843" s="97">
        <f t="shared" si="284"/>
        <v>2.4438319153770198</v>
      </c>
      <c r="W843" s="97">
        <f t="shared" si="284"/>
        <v>2.3104374145252837</v>
      </c>
      <c r="X843" s="97">
        <f t="shared" si="284"/>
        <v>2.1371473351514916</v>
      </c>
      <c r="Y843" s="97">
        <f t="shared" si="284"/>
        <v>1.9274635983965736</v>
      </c>
      <c r="Z843" s="97">
        <f t="shared" si="284"/>
        <v>1.6837740716656662</v>
      </c>
      <c r="AA843" s="97">
        <f t="shared" si="284"/>
        <v>1.4097364885983696</v>
      </c>
      <c r="AB843" s="97">
        <f t="shared" si="284"/>
        <v>1.1111600990024266</v>
      </c>
      <c r="AC843" s="97">
        <f t="shared" si="284"/>
        <v>0.79256975831334342</v>
      </c>
      <c r="AD843" s="97">
        <f t="shared" si="284"/>
        <v>0.46146081701666125</v>
      </c>
      <c r="AE843" s="97">
        <f t="shared" si="284"/>
        <v>0.12581194371835386</v>
      </c>
      <c r="AF843" s="28"/>
      <c r="AG843" s="11"/>
    </row>
    <row r="844" spans="1:33">
      <c r="A844" t="s">
        <v>909</v>
      </c>
      <c r="B844" s="5"/>
      <c r="C844" s="11"/>
      <c r="D844" s="5" t="s">
        <v>131</v>
      </c>
      <c r="G844" s="97">
        <f>SUM(H844:AE844)/48</f>
        <v>0.56926906570521141</v>
      </c>
      <c r="H844" s="97">
        <f>H843*$U$20</f>
        <v>8.8068360602847701E-2</v>
      </c>
      <c r="I844" s="97">
        <f t="shared" ref="I844:AE844" si="285">I843*$U$20</f>
        <v>0.32302257191166284</v>
      </c>
      <c r="J844" s="97">
        <f t="shared" si="285"/>
        <v>0.55479883081934034</v>
      </c>
      <c r="K844" s="97">
        <f t="shared" si="285"/>
        <v>0.77781206930169855</v>
      </c>
      <c r="L844" s="97">
        <f t="shared" si="285"/>
        <v>0.98681554201885868</v>
      </c>
      <c r="M844" s="97">
        <f t="shared" si="285"/>
        <v>1.1786418501659663</v>
      </c>
      <c r="N844" s="97">
        <f t="shared" si="285"/>
        <v>1.3492245188776013</v>
      </c>
      <c r="O844" s="97">
        <f t="shared" si="285"/>
        <v>1.4960031346060441</v>
      </c>
      <c r="P844" s="97">
        <f t="shared" si="285"/>
        <v>1.6173061901676986</v>
      </c>
      <c r="Q844" s="97">
        <f t="shared" si="285"/>
        <v>1.7106823407639138</v>
      </c>
      <c r="R844" s="97">
        <f t="shared" si="285"/>
        <v>1.7745117547071372</v>
      </c>
      <c r="S844" s="97">
        <f t="shared" si="285"/>
        <v>1.8055704129823018</v>
      </c>
      <c r="T844" s="97">
        <f t="shared" si="285"/>
        <v>1.8055704129823018</v>
      </c>
      <c r="U844" s="97">
        <f t="shared" si="285"/>
        <v>1.7745117547071372</v>
      </c>
      <c r="V844" s="97">
        <f t="shared" si="285"/>
        <v>1.7106823407639138</v>
      </c>
      <c r="W844" s="97">
        <f t="shared" si="285"/>
        <v>1.6173061901676986</v>
      </c>
      <c r="X844" s="97">
        <f t="shared" si="285"/>
        <v>1.4960031346060441</v>
      </c>
      <c r="Y844" s="97">
        <f t="shared" si="285"/>
        <v>1.3492245188776013</v>
      </c>
      <c r="Z844" s="97">
        <f t="shared" si="285"/>
        <v>1.1786418501659663</v>
      </c>
      <c r="AA844" s="97">
        <f t="shared" si="285"/>
        <v>0.98681554201885868</v>
      </c>
      <c r="AB844" s="97">
        <f t="shared" si="285"/>
        <v>0.77781206930169855</v>
      </c>
      <c r="AC844" s="97">
        <f t="shared" si="285"/>
        <v>0.55479883081934034</v>
      </c>
      <c r="AD844" s="97">
        <f t="shared" si="285"/>
        <v>0.32302257191166284</v>
      </c>
      <c r="AE844" s="97">
        <f t="shared" si="285"/>
        <v>8.8068360602847701E-2</v>
      </c>
      <c r="AF844" s="28"/>
      <c r="AG844" s="11"/>
    </row>
    <row r="845" spans="1:33">
      <c r="A845" s="20" t="s">
        <v>835</v>
      </c>
      <c r="B845" s="5"/>
      <c r="C845" s="11"/>
      <c r="G845" s="19">
        <f>SUM(H845:AE845)/48</f>
        <v>0.56309659079631669</v>
      </c>
      <c r="H845" s="24">
        <f>H844*(1-($F$16+$F$13)*$H$833)</f>
        <v>8.7113452319863532E-2</v>
      </c>
      <c r="I845" s="24">
        <f t="shared" ref="I845:AE845" si="286">I844*(1-($F$16+$F$13)*$H$833)</f>
        <v>0.31952010033846862</v>
      </c>
      <c r="J845" s="24">
        <f t="shared" si="286"/>
        <v>0.54878325388214244</v>
      </c>
      <c r="K845" s="24">
        <f t="shared" si="286"/>
        <v>0.76937840274429892</v>
      </c>
      <c r="L845" s="24">
        <f t="shared" si="286"/>
        <v>0.97611569103490792</v>
      </c>
      <c r="M845" s="24">
        <f t="shared" si="286"/>
        <v>1.1658620634447081</v>
      </c>
      <c r="N845" s="24">
        <f t="shared" si="286"/>
        <v>1.3345951371125468</v>
      </c>
      <c r="O845" s="24">
        <f t="shared" si="286"/>
        <v>1.4797822605619848</v>
      </c>
      <c r="P845" s="24">
        <f t="shared" si="286"/>
        <v>1.5997700504400929</v>
      </c>
      <c r="Q845" s="24">
        <f t="shared" si="286"/>
        <v>1.6921337414080473</v>
      </c>
      <c r="R845" s="24">
        <f t="shared" si="286"/>
        <v>1.7552710653015051</v>
      </c>
      <c r="S845" s="24">
        <f t="shared" si="286"/>
        <v>1.7859929605230336</v>
      </c>
      <c r="T845" s="24">
        <f t="shared" si="286"/>
        <v>1.7859929605230336</v>
      </c>
      <c r="U845" s="24">
        <f t="shared" si="286"/>
        <v>1.7552710653015051</v>
      </c>
      <c r="V845" s="24">
        <f t="shared" si="286"/>
        <v>1.6921337414080473</v>
      </c>
      <c r="W845" s="24">
        <f t="shared" si="286"/>
        <v>1.5997700504400929</v>
      </c>
      <c r="X845" s="24">
        <f t="shared" si="286"/>
        <v>1.4797822605619848</v>
      </c>
      <c r="Y845" s="24">
        <f t="shared" si="286"/>
        <v>1.3345951371125468</v>
      </c>
      <c r="Z845" s="24">
        <f t="shared" si="286"/>
        <v>1.1658620634447081</v>
      </c>
      <c r="AA845" s="24">
        <f t="shared" si="286"/>
        <v>0.97611569103490792</v>
      </c>
      <c r="AB845" s="24">
        <f t="shared" si="286"/>
        <v>0.76937840274429892</v>
      </c>
      <c r="AC845" s="24">
        <f t="shared" si="286"/>
        <v>0.54878325388214244</v>
      </c>
      <c r="AD845" s="24">
        <f t="shared" si="286"/>
        <v>0.31952010033846862</v>
      </c>
      <c r="AE845" s="24">
        <f t="shared" si="286"/>
        <v>8.7113452319863532E-2</v>
      </c>
      <c r="AF845" s="28"/>
      <c r="AG845" s="11"/>
    </row>
    <row r="846" spans="1:33">
      <c r="A846" s="20"/>
      <c r="B846" s="24" t="s">
        <v>132</v>
      </c>
      <c r="C846" s="11"/>
      <c r="D846" t="s">
        <v>110</v>
      </c>
      <c r="G846" s="27"/>
      <c r="H846" s="24" t="s">
        <v>900</v>
      </c>
      <c r="K846" t="s">
        <v>853</v>
      </c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8"/>
      <c r="AG846" s="11"/>
    </row>
    <row r="847" spans="1:33">
      <c r="A847" s="100" t="s">
        <v>836</v>
      </c>
      <c r="B847" s="5"/>
      <c r="C847" s="11"/>
      <c r="G847" s="19">
        <f>SUM(H847:AE847)/48</f>
        <v>4.1900819275067615E-3</v>
      </c>
      <c r="H847" s="2">
        <f>H845^2/H841</f>
        <v>6.4822360528233865E-4</v>
      </c>
      <c r="I847" s="2">
        <f t="shared" ref="I847:AE847" si="287">I845^2/I841</f>
        <v>2.3775945722030504E-3</v>
      </c>
      <c r="J847" s="2">
        <f t="shared" si="287"/>
        <v>4.0835743490439218E-3</v>
      </c>
      <c r="K847" s="2">
        <f t="shared" si="287"/>
        <v>5.7250542685650958E-3</v>
      </c>
      <c r="L847" s="2">
        <f t="shared" si="287"/>
        <v>7.2634158739571884E-3</v>
      </c>
      <c r="M847" s="2">
        <f t="shared" si="287"/>
        <v>8.6753456544588423E-3</v>
      </c>
      <c r="N847" s="2">
        <f t="shared" si="287"/>
        <v>9.9309124863383377E-3</v>
      </c>
      <c r="O847" s="2">
        <f t="shared" si="287"/>
        <v>1.1011270549262988E-2</v>
      </c>
      <c r="P847" s="2">
        <f t="shared" si="287"/>
        <v>1.1904116782231211E-2</v>
      </c>
      <c r="Q847" s="2">
        <f t="shared" si="287"/>
        <v>1.259140816102529E-2</v>
      </c>
      <c r="R847" s="2">
        <f t="shared" si="287"/>
        <v>1.3061221980041664E-2</v>
      </c>
      <c r="S847" s="2">
        <f t="shared" si="287"/>
        <v>1.3289827977752357E-2</v>
      </c>
      <c r="T847" s="2">
        <f t="shared" si="287"/>
        <v>1.3289827977752357E-2</v>
      </c>
      <c r="U847" s="2">
        <f t="shared" si="287"/>
        <v>1.3061221980041664E-2</v>
      </c>
      <c r="V847" s="2">
        <f t="shared" si="287"/>
        <v>1.259140816102529E-2</v>
      </c>
      <c r="W847" s="2">
        <f t="shared" si="287"/>
        <v>1.1904116782231211E-2</v>
      </c>
      <c r="X847" s="2">
        <f t="shared" si="287"/>
        <v>1.1011270549262988E-2</v>
      </c>
      <c r="Y847" s="2">
        <f t="shared" si="287"/>
        <v>9.9309124863383377E-3</v>
      </c>
      <c r="Z847" s="2">
        <f t="shared" si="287"/>
        <v>8.6753456544588423E-3</v>
      </c>
      <c r="AA847" s="2">
        <f t="shared" si="287"/>
        <v>7.2634158739571884E-3</v>
      </c>
      <c r="AB847" s="2">
        <f t="shared" si="287"/>
        <v>5.7250542685650958E-3</v>
      </c>
      <c r="AC847" s="2">
        <f t="shared" si="287"/>
        <v>4.0835743490439218E-3</v>
      </c>
      <c r="AD847" s="2">
        <f t="shared" si="287"/>
        <v>2.3775945722030504E-3</v>
      </c>
      <c r="AE847" s="2">
        <f t="shared" si="287"/>
        <v>6.4822360528233865E-4</v>
      </c>
      <c r="AF847" s="28"/>
      <c r="AG847" s="11"/>
    </row>
    <row r="848" spans="1:33">
      <c r="A848" s="100"/>
      <c r="B848" s="24" t="s">
        <v>133</v>
      </c>
      <c r="C848" s="11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8"/>
      <c r="AG848" s="11"/>
    </row>
    <row r="849" spans="1:33">
      <c r="A849" s="20" t="s">
        <v>837</v>
      </c>
      <c r="B849" s="11"/>
      <c r="C849" s="11"/>
      <c r="D849" s="11"/>
      <c r="E849" s="27"/>
      <c r="F849" s="6"/>
      <c r="G849" s="19">
        <f>SUM(H849:AE849)/24</f>
        <v>287.9186683248235</v>
      </c>
      <c r="H849" s="24">
        <f>$U$24*(1-$H$833*(1-$F$14))</f>
        <v>287.91866832482344</v>
      </c>
      <c r="I849" s="24">
        <f t="shared" ref="I849:AE849" si="288">$U$24*(1-$H$833*(1-$F$14))</f>
        <v>287.91866832482344</v>
      </c>
      <c r="J849" s="24">
        <f t="shared" si="288"/>
        <v>287.91866832482344</v>
      </c>
      <c r="K849" s="24">
        <f t="shared" si="288"/>
        <v>287.91866832482344</v>
      </c>
      <c r="L849" s="24">
        <f t="shared" si="288"/>
        <v>287.91866832482344</v>
      </c>
      <c r="M849" s="24">
        <f t="shared" si="288"/>
        <v>287.91866832482344</v>
      </c>
      <c r="N849" s="24">
        <f t="shared" si="288"/>
        <v>287.91866832482344</v>
      </c>
      <c r="O849" s="24">
        <f t="shared" si="288"/>
        <v>287.91866832482344</v>
      </c>
      <c r="P849" s="24">
        <f t="shared" si="288"/>
        <v>287.91866832482344</v>
      </c>
      <c r="Q849" s="24">
        <f t="shared" si="288"/>
        <v>287.91866832482344</v>
      </c>
      <c r="R849" s="24">
        <f t="shared" si="288"/>
        <v>287.91866832482344</v>
      </c>
      <c r="S849" s="24">
        <f t="shared" si="288"/>
        <v>287.91866832482344</v>
      </c>
      <c r="T849" s="24">
        <f t="shared" si="288"/>
        <v>287.91866832482344</v>
      </c>
      <c r="U849" s="24">
        <f t="shared" si="288"/>
        <v>287.91866832482344</v>
      </c>
      <c r="V849" s="24">
        <f t="shared" si="288"/>
        <v>287.91866832482344</v>
      </c>
      <c r="W849" s="24">
        <f t="shared" si="288"/>
        <v>287.91866832482344</v>
      </c>
      <c r="X849" s="24">
        <f t="shared" si="288"/>
        <v>287.91866832482344</v>
      </c>
      <c r="Y849" s="24">
        <f t="shared" si="288"/>
        <v>287.91866832482344</v>
      </c>
      <c r="Z849" s="24">
        <f t="shared" si="288"/>
        <v>287.91866832482344</v>
      </c>
      <c r="AA849" s="24">
        <f t="shared" si="288"/>
        <v>287.91866832482344</v>
      </c>
      <c r="AB849" s="24">
        <f t="shared" si="288"/>
        <v>287.91866832482344</v>
      </c>
      <c r="AC849" s="24">
        <f t="shared" si="288"/>
        <v>287.91866832482344</v>
      </c>
      <c r="AD849" s="24">
        <f t="shared" si="288"/>
        <v>287.91866832482344</v>
      </c>
      <c r="AE849" s="24">
        <f t="shared" si="288"/>
        <v>287.91866832482344</v>
      </c>
      <c r="AF849" s="28"/>
      <c r="AG849" s="11"/>
    </row>
    <row r="850" spans="1:33">
      <c r="A850" s="20"/>
      <c r="B850" s="5" t="s">
        <v>111</v>
      </c>
      <c r="C850" s="11"/>
      <c r="D850" t="s">
        <v>264</v>
      </c>
      <c r="E850" s="2"/>
      <c r="G850" t="s">
        <v>112</v>
      </c>
      <c r="I850" s="11"/>
      <c r="J850" s="28"/>
      <c r="K850" s="2" t="s">
        <v>844</v>
      </c>
      <c r="L850" s="12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11"/>
    </row>
    <row r="851" spans="1:33">
      <c r="A851" s="12" t="s">
        <v>573</v>
      </c>
      <c r="B851" t="s">
        <v>839</v>
      </c>
      <c r="E851" s="12"/>
      <c r="F851" s="6"/>
      <c r="G851" s="32"/>
      <c r="H851" s="3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3">
      <c r="A852" s="11"/>
      <c r="B852" s="14" t="s">
        <v>870</v>
      </c>
      <c r="E852" s="12"/>
      <c r="F852" s="6"/>
      <c r="G852" s="32"/>
      <c r="H852" s="3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3">
      <c r="A853" s="11"/>
      <c r="B853" s="14" t="s">
        <v>845</v>
      </c>
      <c r="E853" s="12"/>
      <c r="F853" s="6"/>
      <c r="G853" s="32"/>
      <c r="H853" s="3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3">
      <c r="A854" s="11"/>
      <c r="B854" s="14" t="s">
        <v>842</v>
      </c>
      <c r="E854" s="12"/>
      <c r="F854" s="6"/>
      <c r="G854" s="32"/>
      <c r="H854" s="3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3">
      <c r="A855" s="20" t="s">
        <v>914</v>
      </c>
      <c r="B855" s="11"/>
      <c r="C855" s="11"/>
      <c r="D855" s="11"/>
      <c r="E855" s="27"/>
      <c r="F855" s="6"/>
      <c r="G855" s="19">
        <f>SUM(H855:AE855)/24</f>
        <v>2.5618512323568008</v>
      </c>
      <c r="H855" s="24">
        <f t="shared" ref="H855:AE855" si="289">$M$9*($F$9+273)^4*$F$10*$F$18</f>
        <v>2.5618512323567995</v>
      </c>
      <c r="I855" s="24">
        <f t="shared" si="289"/>
        <v>2.5618512323567995</v>
      </c>
      <c r="J855" s="24">
        <f t="shared" si="289"/>
        <v>2.5618512323567995</v>
      </c>
      <c r="K855" s="24">
        <f t="shared" si="289"/>
        <v>2.5618512323567995</v>
      </c>
      <c r="L855" s="24">
        <f t="shared" si="289"/>
        <v>2.5618512323567995</v>
      </c>
      <c r="M855" s="24">
        <f t="shared" si="289"/>
        <v>2.5618512323567995</v>
      </c>
      <c r="N855" s="24">
        <f t="shared" si="289"/>
        <v>2.5618512323567995</v>
      </c>
      <c r="O855" s="24">
        <f t="shared" si="289"/>
        <v>2.5618512323567995</v>
      </c>
      <c r="P855" s="24">
        <f t="shared" si="289"/>
        <v>2.5618512323567995</v>
      </c>
      <c r="Q855" s="24">
        <f t="shared" si="289"/>
        <v>2.5618512323567995</v>
      </c>
      <c r="R855" s="24">
        <f t="shared" si="289"/>
        <v>2.5618512323567995</v>
      </c>
      <c r="S855" s="24">
        <f t="shared" si="289"/>
        <v>2.5618512323567995</v>
      </c>
      <c r="T855" s="24">
        <f t="shared" si="289"/>
        <v>2.5618512323567995</v>
      </c>
      <c r="U855" s="24">
        <f t="shared" si="289"/>
        <v>2.5618512323567995</v>
      </c>
      <c r="V855" s="24">
        <f t="shared" si="289"/>
        <v>2.5618512323567995</v>
      </c>
      <c r="W855" s="24">
        <f t="shared" si="289"/>
        <v>2.5618512323567995</v>
      </c>
      <c r="X855" s="24">
        <f t="shared" si="289"/>
        <v>2.5618512323567995</v>
      </c>
      <c r="Y855" s="24">
        <f t="shared" si="289"/>
        <v>2.5618512323567995</v>
      </c>
      <c r="Z855" s="24">
        <f t="shared" si="289"/>
        <v>2.5618512323567995</v>
      </c>
      <c r="AA855" s="24">
        <f t="shared" si="289"/>
        <v>2.5618512323567995</v>
      </c>
      <c r="AB855" s="24">
        <f t="shared" si="289"/>
        <v>2.5618512323567995</v>
      </c>
      <c r="AC855" s="24">
        <f t="shared" si="289"/>
        <v>2.5618512323567995</v>
      </c>
      <c r="AD855" s="24">
        <f t="shared" si="289"/>
        <v>2.5618512323567995</v>
      </c>
      <c r="AE855" s="24">
        <f t="shared" si="289"/>
        <v>2.5618512323567995</v>
      </c>
      <c r="AF855" s="28"/>
      <c r="AG855" s="11"/>
    </row>
    <row r="856" spans="1:33">
      <c r="A856" s="20"/>
      <c r="B856" s="5" t="s">
        <v>923</v>
      </c>
      <c r="C856" s="11"/>
      <c r="D856" t="s">
        <v>743</v>
      </c>
      <c r="E856" s="27"/>
      <c r="F856" s="6"/>
      <c r="G856" s="28"/>
      <c r="H856" t="s">
        <v>717</v>
      </c>
      <c r="I856" s="29"/>
      <c r="J856" s="11"/>
      <c r="K856" s="2" t="s">
        <v>719</v>
      </c>
      <c r="L856" s="11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11"/>
    </row>
    <row r="857" spans="1:33">
      <c r="A857" s="20"/>
      <c r="B857" s="27" t="s">
        <v>925</v>
      </c>
      <c r="C857" s="11" t="s">
        <v>924</v>
      </c>
      <c r="E857" s="27"/>
      <c r="F857" s="6"/>
      <c r="G857" s="28"/>
      <c r="I857" s="29"/>
      <c r="J857" s="11"/>
      <c r="K857" s="2"/>
      <c r="L857" s="11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11"/>
    </row>
    <row r="858" spans="1:33">
      <c r="A858" s="20"/>
      <c r="B858" s="14"/>
      <c r="C858" t="s">
        <v>926</v>
      </c>
      <c r="E858" s="27"/>
      <c r="F858" s="6"/>
      <c r="G858" s="28"/>
      <c r="I858" s="29"/>
      <c r="J858" s="11"/>
      <c r="K858" s="2"/>
      <c r="L858" s="11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11"/>
    </row>
    <row r="859" spans="1:33">
      <c r="A859" s="20"/>
      <c r="B859" s="16" t="s">
        <v>740</v>
      </c>
      <c r="C859" s="11"/>
      <c r="D859" s="11"/>
      <c r="E859" s="27"/>
      <c r="F859" s="6"/>
      <c r="G859" s="32">
        <f>G834+G841+G845+G847+G849+G855</f>
        <v>370.02175336239492</v>
      </c>
      <c r="H859" s="33"/>
      <c r="I859" s="29"/>
      <c r="J859" s="28"/>
      <c r="K859" s="11"/>
      <c r="L859" s="11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11"/>
    </row>
    <row r="860" spans="1:33">
      <c r="A860" s="20"/>
      <c r="B860" s="16" t="s">
        <v>721</v>
      </c>
      <c r="G860" s="32">
        <f>G829-G859</f>
        <v>2.8829029701304307</v>
      </c>
      <c r="H860" s="33"/>
      <c r="I860" s="8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3">
      <c r="A861" s="39" t="s">
        <v>512</v>
      </c>
      <c r="B861" s="16"/>
      <c r="G861" s="32"/>
      <c r="H861" s="3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3">
      <c r="A862" s="3" t="s">
        <v>771</v>
      </c>
      <c r="G862" t="s">
        <v>535</v>
      </c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3">
      <c r="A863" s="20" t="s">
        <v>873</v>
      </c>
      <c r="B863" s="11"/>
      <c r="C863" s="11"/>
      <c r="D863" s="11"/>
      <c r="E863" s="14" t="s">
        <v>563</v>
      </c>
      <c r="F863" s="31">
        <f>$F$15</f>
        <v>0.7</v>
      </c>
      <c r="G863" s="19">
        <f>SUM(H863:AE863)/48</f>
        <v>53.925324038105025</v>
      </c>
      <c r="H863" s="2">
        <f>H$69*H$27*$F$15</f>
        <v>0</v>
      </c>
      <c r="I863" s="2">
        <f t="shared" ref="I863:AE863" si="290">I$69*I$27*$F$15</f>
        <v>0</v>
      </c>
      <c r="J863" s="2">
        <f t="shared" si="290"/>
        <v>0</v>
      </c>
      <c r="K863" s="2">
        <f t="shared" si="290"/>
        <v>0</v>
      </c>
      <c r="L863" s="2">
        <f t="shared" si="290"/>
        <v>0</v>
      </c>
      <c r="M863" s="2">
        <f t="shared" si="290"/>
        <v>0</v>
      </c>
      <c r="N863" s="2">
        <f t="shared" si="290"/>
        <v>0</v>
      </c>
      <c r="O863" s="2">
        <f t="shared" si="290"/>
        <v>0</v>
      </c>
      <c r="P863" s="2">
        <f t="shared" si="290"/>
        <v>222.24692995417652</v>
      </c>
      <c r="Q863" s="2">
        <f t="shared" si="290"/>
        <v>234.73463754742613</v>
      </c>
      <c r="R863" s="2">
        <f t="shared" si="290"/>
        <v>243.30557564161614</v>
      </c>
      <c r="S863" s="2">
        <f t="shared" si="290"/>
        <v>247.50262067786113</v>
      </c>
      <c r="T863" s="2">
        <f t="shared" si="290"/>
        <v>247.50262067786113</v>
      </c>
      <c r="U863" s="2">
        <f t="shared" si="290"/>
        <v>243.30557564161614</v>
      </c>
      <c r="V863" s="2">
        <f t="shared" si="290"/>
        <v>234.73463754742613</v>
      </c>
      <c r="W863" s="2">
        <f t="shared" si="290"/>
        <v>222.24692995417652</v>
      </c>
      <c r="X863" s="2">
        <f t="shared" si="290"/>
        <v>205.96955011808203</v>
      </c>
      <c r="Y863" s="2">
        <f t="shared" si="290"/>
        <v>186.19049908437867</v>
      </c>
      <c r="Z863" s="2">
        <f t="shared" si="290"/>
        <v>163.20260686474126</v>
      </c>
      <c r="AA863" s="2">
        <f t="shared" si="290"/>
        <v>137.47337011967952</v>
      </c>
      <c r="AB863" s="2">
        <f t="shared" si="290"/>
        <v>0</v>
      </c>
      <c r="AC863" s="2">
        <f t="shared" si="290"/>
        <v>0</v>
      </c>
      <c r="AD863" s="2">
        <f t="shared" si="290"/>
        <v>0</v>
      </c>
      <c r="AE863" s="2">
        <f t="shared" si="290"/>
        <v>0</v>
      </c>
      <c r="AF863" s="2"/>
    </row>
    <row r="864" spans="1:33">
      <c r="A864" s="5"/>
      <c r="B864" s="5" t="s">
        <v>98</v>
      </c>
      <c r="C864" s="11"/>
      <c r="D864" t="s">
        <v>124</v>
      </c>
      <c r="E864" s="12"/>
      <c r="F864" s="18"/>
      <c r="G864" s="19"/>
      <c r="H864" s="2" t="s">
        <v>860</v>
      </c>
      <c r="I864" s="2"/>
      <c r="J864" s="2" t="s">
        <v>861</v>
      </c>
      <c r="K864" s="26"/>
      <c r="L864" s="2"/>
      <c r="M864" s="2"/>
      <c r="N864" s="2"/>
      <c r="O864" s="26"/>
      <c r="P864" s="2"/>
      <c r="Q864" s="2"/>
      <c r="R864" s="26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3">
      <c r="A865" s="20" t="s">
        <v>874</v>
      </c>
      <c r="G865" s="19">
        <f>SUM(H865:AE865)/48</f>
        <v>25.068987972515458</v>
      </c>
      <c r="H865" s="2">
        <f>H$69*$U$20*H$28^2</f>
        <v>15.531299709801685</v>
      </c>
      <c r="I865" s="2">
        <f t="shared" ref="I865:AE865" si="291">I$69*$U$20*I$28^2</f>
        <v>47.911987720242806</v>
      </c>
      <c r="J865" s="2">
        <f t="shared" si="291"/>
        <v>79.23917376842833</v>
      </c>
      <c r="K865" s="2">
        <f t="shared" si="291"/>
        <v>109.31971760617094</v>
      </c>
      <c r="L865" s="2">
        <f t="shared" si="291"/>
        <v>137.47337011967952</v>
      </c>
      <c r="M865" s="2">
        <f t="shared" si="291"/>
        <v>163.20260686474126</v>
      </c>
      <c r="N865" s="2">
        <f t="shared" si="291"/>
        <v>186.19049908437867</v>
      </c>
      <c r="O865" s="2">
        <f t="shared" si="291"/>
        <v>205.96955011808203</v>
      </c>
      <c r="P865" s="2">
        <f t="shared" si="291"/>
        <v>0.55561732488544224</v>
      </c>
      <c r="Q865" s="2">
        <f t="shared" si="291"/>
        <v>0.58683659386856635</v>
      </c>
      <c r="R865" s="2">
        <f t="shared" si="291"/>
        <v>0.60826393910404142</v>
      </c>
      <c r="S865" s="2">
        <f t="shared" si="291"/>
        <v>0.61875655169465393</v>
      </c>
      <c r="T865" s="2">
        <f t="shared" si="291"/>
        <v>0.61875655169465393</v>
      </c>
      <c r="U865" s="2">
        <f t="shared" si="291"/>
        <v>0.60826393910404142</v>
      </c>
      <c r="V865" s="2">
        <f t="shared" si="291"/>
        <v>0.58683659386856635</v>
      </c>
      <c r="W865" s="2">
        <f t="shared" si="291"/>
        <v>0.55561732488544224</v>
      </c>
      <c r="X865" s="2">
        <f t="shared" si="291"/>
        <v>0.514923875295206</v>
      </c>
      <c r="Y865" s="2">
        <f t="shared" si="291"/>
        <v>0.46547624771094748</v>
      </c>
      <c r="Z865" s="2">
        <f t="shared" si="291"/>
        <v>0.40800651716185388</v>
      </c>
      <c r="AA865" s="2">
        <f t="shared" si="291"/>
        <v>0.34368342529919937</v>
      </c>
      <c r="AB865" s="2">
        <f t="shared" si="291"/>
        <v>109.31971760617094</v>
      </c>
      <c r="AC865" s="2">
        <f t="shared" si="291"/>
        <v>79.23917376842833</v>
      </c>
      <c r="AD865" s="2">
        <f t="shared" si="291"/>
        <v>47.911987720242806</v>
      </c>
      <c r="AE865" s="2">
        <f t="shared" si="291"/>
        <v>15.531299709801685</v>
      </c>
      <c r="AF865" s="2"/>
    </row>
    <row r="866" spans="1:33">
      <c r="A866" s="16"/>
      <c r="B866" s="5" t="s">
        <v>107</v>
      </c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3">
      <c r="A867" s="20" t="s">
        <v>875</v>
      </c>
      <c r="E867" s="12"/>
      <c r="F867" s="6"/>
      <c r="G867" s="19">
        <f>(SUM(H867:AE867)+24*$U$24)/48</f>
        <v>220.533868224</v>
      </c>
      <c r="H867" s="2">
        <f>$U$24*(1-H$27)</f>
        <v>294.04515763199998</v>
      </c>
      <c r="I867" s="2">
        <f>$U$24*(1-I$27)</f>
        <v>294.04515763199998</v>
      </c>
      <c r="J867" s="2">
        <f t="shared" ref="J867:AE867" si="292">$U$24*(1-J$27)</f>
        <v>294.04515763199998</v>
      </c>
      <c r="K867" s="2">
        <f t="shared" si="292"/>
        <v>294.04515763199998</v>
      </c>
      <c r="L867" s="2">
        <f t="shared" si="292"/>
        <v>294.04515763199998</v>
      </c>
      <c r="M867" s="2">
        <f t="shared" si="292"/>
        <v>294.04515763199998</v>
      </c>
      <c r="N867" s="2">
        <f t="shared" si="292"/>
        <v>294.04515763199998</v>
      </c>
      <c r="O867" s="2">
        <f t="shared" si="292"/>
        <v>294.04515763199998</v>
      </c>
      <c r="P867" s="2">
        <f t="shared" si="292"/>
        <v>0</v>
      </c>
      <c r="Q867" s="2">
        <f t="shared" si="292"/>
        <v>0</v>
      </c>
      <c r="R867" s="2">
        <f t="shared" si="292"/>
        <v>0</v>
      </c>
      <c r="S867" s="2">
        <f t="shared" si="292"/>
        <v>0</v>
      </c>
      <c r="T867" s="2">
        <f t="shared" si="292"/>
        <v>0</v>
      </c>
      <c r="U867" s="2">
        <f t="shared" si="292"/>
        <v>0</v>
      </c>
      <c r="V867" s="2">
        <f t="shared" si="292"/>
        <v>0</v>
      </c>
      <c r="W867" s="2">
        <f t="shared" si="292"/>
        <v>0</v>
      </c>
      <c r="X867" s="2">
        <f t="shared" si="292"/>
        <v>0</v>
      </c>
      <c r="Y867" s="2">
        <f t="shared" si="292"/>
        <v>0</v>
      </c>
      <c r="Z867" s="2">
        <f t="shared" si="292"/>
        <v>0</v>
      </c>
      <c r="AA867" s="2">
        <f t="shared" si="292"/>
        <v>0</v>
      </c>
      <c r="AB867" s="2">
        <f t="shared" si="292"/>
        <v>294.04515763199998</v>
      </c>
      <c r="AC867" s="2">
        <f t="shared" si="292"/>
        <v>294.04515763199998</v>
      </c>
      <c r="AD867" s="2">
        <f t="shared" si="292"/>
        <v>294.04515763199998</v>
      </c>
      <c r="AE867" s="2">
        <f t="shared" si="292"/>
        <v>294.04515763199998</v>
      </c>
      <c r="AF867" s="2"/>
    </row>
    <row r="868" spans="1:33">
      <c r="A868" s="20"/>
      <c r="C868" s="5" t="s">
        <v>108</v>
      </c>
      <c r="D868" t="s">
        <v>128</v>
      </c>
      <c r="E868" s="12"/>
      <c r="F868" s="6"/>
      <c r="G868" s="19"/>
      <c r="H868" s="2" t="s">
        <v>860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3">
      <c r="A869" s="20" t="s">
        <v>876</v>
      </c>
      <c r="E869" s="12">
        <f>$F$7</f>
        <v>-5</v>
      </c>
      <c r="F869" s="6" t="s">
        <v>558</v>
      </c>
      <c r="G869" s="19">
        <f>SUM(H869:AE869)/48</f>
        <v>73.51128940800001</v>
      </c>
      <c r="H869" s="2">
        <f t="shared" ref="H869:AE869" si="293">$M$9*($F$7+273)^4*H$27</f>
        <v>0</v>
      </c>
      <c r="I869" s="2">
        <f t="shared" si="293"/>
        <v>0</v>
      </c>
      <c r="J869" s="2">
        <f t="shared" si="293"/>
        <v>0</v>
      </c>
      <c r="K869" s="2">
        <f t="shared" si="293"/>
        <v>0</v>
      </c>
      <c r="L869" s="2">
        <f t="shared" si="293"/>
        <v>0</v>
      </c>
      <c r="M869" s="2">
        <f t="shared" si="293"/>
        <v>0</v>
      </c>
      <c r="N869" s="2">
        <f t="shared" si="293"/>
        <v>0</v>
      </c>
      <c r="O869" s="2">
        <f t="shared" si="293"/>
        <v>0</v>
      </c>
      <c r="P869" s="2">
        <f t="shared" si="293"/>
        <v>294.04515763199998</v>
      </c>
      <c r="Q869" s="2">
        <f t="shared" si="293"/>
        <v>294.04515763199998</v>
      </c>
      <c r="R869" s="2">
        <f t="shared" si="293"/>
        <v>294.04515763199998</v>
      </c>
      <c r="S869" s="2">
        <f t="shared" si="293"/>
        <v>294.04515763199998</v>
      </c>
      <c r="T869" s="2">
        <f t="shared" si="293"/>
        <v>294.04515763199998</v>
      </c>
      <c r="U869" s="2">
        <f t="shared" si="293"/>
        <v>294.04515763199998</v>
      </c>
      <c r="V869" s="2">
        <f t="shared" si="293"/>
        <v>294.04515763199998</v>
      </c>
      <c r="W869" s="2">
        <f t="shared" si="293"/>
        <v>294.04515763199998</v>
      </c>
      <c r="X869" s="2">
        <f t="shared" si="293"/>
        <v>294.04515763199998</v>
      </c>
      <c r="Y869" s="2">
        <f t="shared" si="293"/>
        <v>294.04515763199998</v>
      </c>
      <c r="Z869" s="2">
        <f t="shared" si="293"/>
        <v>294.04515763199998</v>
      </c>
      <c r="AA869" s="2">
        <f t="shared" si="293"/>
        <v>294.04515763199998</v>
      </c>
      <c r="AB869" s="2">
        <f t="shared" si="293"/>
        <v>0</v>
      </c>
      <c r="AC869" s="2">
        <f t="shared" si="293"/>
        <v>0</v>
      </c>
      <c r="AD869" s="2">
        <f t="shared" si="293"/>
        <v>0</v>
      </c>
      <c r="AE869" s="2">
        <f t="shared" si="293"/>
        <v>0</v>
      </c>
      <c r="AF869" s="2"/>
    </row>
    <row r="870" spans="1:33">
      <c r="A870" s="20"/>
      <c r="B870" t="s">
        <v>865</v>
      </c>
      <c r="D870" t="s">
        <v>743</v>
      </c>
      <c r="E870" s="30"/>
      <c r="F870" s="6"/>
      <c r="G870" s="19"/>
      <c r="H870" t="s">
        <v>617</v>
      </c>
      <c r="I870" s="2"/>
      <c r="K870" s="2" t="s">
        <v>860</v>
      </c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3">
      <c r="A871" s="20"/>
      <c r="B871" s="16" t="s">
        <v>724</v>
      </c>
      <c r="E871" s="30"/>
      <c r="F871" s="6"/>
      <c r="G871" s="32">
        <f>G863+G865+G867+G869</f>
        <v>373.03946964262047</v>
      </c>
      <c r="H871" s="3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3">
      <c r="A872" s="39" t="s">
        <v>512</v>
      </c>
      <c r="B872" s="16"/>
      <c r="E872" s="30"/>
      <c r="G872" s="32"/>
      <c r="H872" s="33"/>
      <c r="I872" s="3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3">
      <c r="A873" s="3" t="s">
        <v>733</v>
      </c>
      <c r="E873" s="12"/>
      <c r="F873" s="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3">
      <c r="A874" s="3" t="s">
        <v>877</v>
      </c>
      <c r="G874" s="19">
        <f>SUM(H874:AE874)/48</f>
        <v>3.3005412057703345</v>
      </c>
      <c r="H874" s="24">
        <f>H$69*H$832*$F$16</f>
        <v>5.1764310819053136</v>
      </c>
      <c r="I874" s="24">
        <f t="shared" ref="I874:AE874" si="294">I$69*I$832*$F$16</f>
        <v>6.3048194165016085</v>
      </c>
      <c r="J874" s="24">
        <f t="shared" si="294"/>
        <v>6.5558640527702066</v>
      </c>
      <c r="K874" s="24">
        <f t="shared" si="294"/>
        <v>6.7102732369294031</v>
      </c>
      <c r="L874" s="24">
        <f t="shared" si="294"/>
        <v>6.8028513450909269</v>
      </c>
      <c r="M874" s="24">
        <f t="shared" si="294"/>
        <v>6.7329482947482377</v>
      </c>
      <c r="N874" s="24">
        <f t="shared" si="294"/>
        <v>6.8220718338953672</v>
      </c>
      <c r="O874" s="24">
        <f t="shared" si="294"/>
        <v>6.8973817807866826</v>
      </c>
      <c r="P874" s="24">
        <f t="shared" si="294"/>
        <v>6.8633605446011474</v>
      </c>
      <c r="Q874" s="24">
        <f t="shared" si="294"/>
        <v>6.7780336128497645</v>
      </c>
      <c r="R874" s="24">
        <f t="shared" si="294"/>
        <v>6.7682758185424889</v>
      </c>
      <c r="S874" s="24">
        <f t="shared" si="294"/>
        <v>6.8006779198668639</v>
      </c>
      <c r="T874" s="24">
        <f t="shared" si="294"/>
        <v>6.8006779198668639</v>
      </c>
      <c r="U874" s="24">
        <f t="shared" si="294"/>
        <v>6.7682758185424889</v>
      </c>
      <c r="V874" s="24">
        <f t="shared" si="294"/>
        <v>6.7780336128497645</v>
      </c>
      <c r="W874" s="24">
        <f t="shared" si="294"/>
        <v>6.8633605446011474</v>
      </c>
      <c r="X874" s="24">
        <f t="shared" si="294"/>
        <v>6.8973817807866826</v>
      </c>
      <c r="Y874" s="24">
        <f t="shared" si="294"/>
        <v>6.8220718338953672</v>
      </c>
      <c r="Z874" s="24">
        <f t="shared" si="294"/>
        <v>6.7329482947482377</v>
      </c>
      <c r="AA874" s="24">
        <f t="shared" si="294"/>
        <v>6.8028513450909269</v>
      </c>
      <c r="AB874" s="24">
        <f t="shared" si="294"/>
        <v>6.7102732369294031</v>
      </c>
      <c r="AC874" s="24">
        <f t="shared" si="294"/>
        <v>6.5558640527702066</v>
      </c>
      <c r="AD874" s="24">
        <f t="shared" si="294"/>
        <v>6.3048194165016085</v>
      </c>
      <c r="AE874" s="24">
        <f t="shared" si="294"/>
        <v>5.1764310819053136</v>
      </c>
      <c r="AF874" s="2"/>
    </row>
    <row r="875" spans="1:33">
      <c r="B875" s="5" t="s">
        <v>101</v>
      </c>
      <c r="D875" t="s">
        <v>127</v>
      </c>
      <c r="H875" t="s">
        <v>866</v>
      </c>
      <c r="J875" s="2"/>
      <c r="K875" s="2"/>
      <c r="L875" t="s">
        <v>104</v>
      </c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3">
      <c r="A876" t="s">
        <v>879</v>
      </c>
      <c r="C876" s="11"/>
      <c r="G876" s="98">
        <f>SUM(H876:AE876)/48</f>
        <v>109.28987468515031</v>
      </c>
      <c r="H876" s="97">
        <f>H$69*(1-($F$16+$F$13)*H$832)</f>
        <v>16.907611310458989</v>
      </c>
      <c r="I876" s="97">
        <f t="shared" ref="I876:AE876" si="295">I$69*(1-($F$16+$F$13)*I$832)</f>
        <v>62.014780938372368</v>
      </c>
      <c r="J876" s="97">
        <f t="shared" si="295"/>
        <v>106.51183833535772</v>
      </c>
      <c r="K876" s="97">
        <f t="shared" si="295"/>
        <v>149.3265464500048</v>
      </c>
      <c r="L876" s="97">
        <f t="shared" si="295"/>
        <v>189.45162037040657</v>
      </c>
      <c r="M876" s="97">
        <f t="shared" si="295"/>
        <v>226.27897397470147</v>
      </c>
      <c r="N876" s="97">
        <f t="shared" si="295"/>
        <v>259.02791399282489</v>
      </c>
      <c r="O876" s="97">
        <f t="shared" si="295"/>
        <v>287.20688503800051</v>
      </c>
      <c r="P876" s="97">
        <f t="shared" si="295"/>
        <v>310.49498646475905</v>
      </c>
      <c r="Q876" s="97">
        <f t="shared" si="295"/>
        <v>328.42160221121634</v>
      </c>
      <c r="R876" s="97">
        <f t="shared" si="295"/>
        <v>340.67575243882402</v>
      </c>
      <c r="S876" s="97">
        <f t="shared" si="295"/>
        <v>346.63848091868027</v>
      </c>
      <c r="T876" s="97">
        <f t="shared" si="295"/>
        <v>346.63848091868027</v>
      </c>
      <c r="U876" s="97">
        <f t="shared" si="295"/>
        <v>340.67575243882402</v>
      </c>
      <c r="V876" s="97">
        <f t="shared" si="295"/>
        <v>328.42160221121634</v>
      </c>
      <c r="W876" s="97">
        <f t="shared" si="295"/>
        <v>310.49498646475905</v>
      </c>
      <c r="X876" s="97">
        <f t="shared" si="295"/>
        <v>287.20688503800051</v>
      </c>
      <c r="Y876" s="97">
        <f t="shared" si="295"/>
        <v>259.02791399282489</v>
      </c>
      <c r="Z876" s="97">
        <f t="shared" si="295"/>
        <v>226.27897397470147</v>
      </c>
      <c r="AA876" s="97">
        <f t="shared" si="295"/>
        <v>189.45162037040657</v>
      </c>
      <c r="AB876" s="97">
        <f t="shared" si="295"/>
        <v>149.3265464500048</v>
      </c>
      <c r="AC876" s="97">
        <f t="shared" si="295"/>
        <v>106.51183833535772</v>
      </c>
      <c r="AD876" s="97">
        <f t="shared" si="295"/>
        <v>62.014780938372368</v>
      </c>
      <c r="AE876" s="97">
        <f t="shared" si="295"/>
        <v>16.907611310458989</v>
      </c>
      <c r="AF876" s="28"/>
      <c r="AG876" s="11"/>
    </row>
    <row r="877" spans="1:33">
      <c r="B877" s="24" t="s">
        <v>103</v>
      </c>
      <c r="D877" s="2" t="s">
        <v>123</v>
      </c>
      <c r="E877" s="106" t="s">
        <v>970</v>
      </c>
      <c r="G877" t="s">
        <v>853</v>
      </c>
      <c r="I877" t="s">
        <v>104</v>
      </c>
      <c r="AF877" s="28"/>
      <c r="AG877" s="11"/>
    </row>
    <row r="878" spans="1:33">
      <c r="A878" t="s">
        <v>878</v>
      </c>
      <c r="C878" s="11"/>
      <c r="D878" s="24"/>
      <c r="G878" s="97">
        <f>SUM(H878:AE878)/48</f>
        <v>76.502912279605212</v>
      </c>
      <c r="H878" s="97">
        <f>H876*($U$20*(1-H$27)+$F$15*H$27)</f>
        <v>11.835327917321292</v>
      </c>
      <c r="I878" s="97">
        <f t="shared" ref="I878:AE878" si="296">I876*($U$20*(1-I$27)+$F$15*I$27)</f>
        <v>43.410346656860654</v>
      </c>
      <c r="J878" s="97">
        <f t="shared" si="296"/>
        <v>74.558286834750405</v>
      </c>
      <c r="K878" s="97">
        <f t="shared" si="296"/>
        <v>104.52858251500335</v>
      </c>
      <c r="L878" s="97">
        <f t="shared" si="296"/>
        <v>132.61613425928459</v>
      </c>
      <c r="M878" s="97">
        <f t="shared" si="296"/>
        <v>158.39528178229102</v>
      </c>
      <c r="N878" s="97">
        <f t="shared" si="296"/>
        <v>181.3195397949774</v>
      </c>
      <c r="O878" s="97">
        <f t="shared" si="296"/>
        <v>201.04481952660035</v>
      </c>
      <c r="P878" s="97">
        <f t="shared" si="296"/>
        <v>217.34649052533132</v>
      </c>
      <c r="Q878" s="97">
        <f t="shared" si="296"/>
        <v>229.89512154785143</v>
      </c>
      <c r="R878" s="97">
        <f t="shared" si="296"/>
        <v>238.47302670717679</v>
      </c>
      <c r="S878" s="97">
        <f t="shared" si="296"/>
        <v>242.64693664307617</v>
      </c>
      <c r="T878" s="97">
        <f t="shared" si="296"/>
        <v>242.64693664307617</v>
      </c>
      <c r="U878" s="97">
        <f t="shared" si="296"/>
        <v>238.47302670717679</v>
      </c>
      <c r="V878" s="97">
        <f t="shared" si="296"/>
        <v>229.89512154785143</v>
      </c>
      <c r="W878" s="97">
        <f t="shared" si="296"/>
        <v>217.34649052533132</v>
      </c>
      <c r="X878" s="97">
        <f t="shared" si="296"/>
        <v>201.04481952660035</v>
      </c>
      <c r="Y878" s="97">
        <f t="shared" si="296"/>
        <v>181.3195397949774</v>
      </c>
      <c r="Z878" s="97">
        <f t="shared" si="296"/>
        <v>158.39528178229102</v>
      </c>
      <c r="AA878" s="97">
        <f t="shared" si="296"/>
        <v>132.61613425928459</v>
      </c>
      <c r="AB878" s="97">
        <f t="shared" si="296"/>
        <v>104.52858251500335</v>
      </c>
      <c r="AC878" s="97">
        <f t="shared" si="296"/>
        <v>74.558286834750405</v>
      </c>
      <c r="AD878" s="97">
        <f t="shared" si="296"/>
        <v>43.410346656860654</v>
      </c>
      <c r="AE878" s="97">
        <f t="shared" si="296"/>
        <v>11.835327917321292</v>
      </c>
      <c r="AF878" s="28"/>
      <c r="AG878" s="11"/>
    </row>
    <row r="879" spans="1:33">
      <c r="B879" s="24" t="s">
        <v>917</v>
      </c>
      <c r="D879" s="14" t="s">
        <v>106</v>
      </c>
      <c r="G879" t="s">
        <v>888</v>
      </c>
      <c r="I879" s="24" t="s">
        <v>260</v>
      </c>
      <c r="M879" s="2" t="s">
        <v>860</v>
      </c>
      <c r="AF879" s="28"/>
      <c r="AG879" s="11"/>
    </row>
    <row r="880" spans="1:33" ht="18">
      <c r="A880" s="20" t="s">
        <v>881</v>
      </c>
      <c r="G880" s="19">
        <f>SUM(H880:AE880)/48</f>
        <v>52.173640997964092</v>
      </c>
      <c r="H880" s="2">
        <f>H$69*H$27*$F$15*(1-H$832*$F$16)*(1-$H$833*$F$16)</f>
        <v>0</v>
      </c>
      <c r="I880" s="2">
        <f>I$69*I$27*$F$15*(1-I$832*$F$16)*(1-$H$833*$F$16)</f>
        <v>0</v>
      </c>
      <c r="J880" s="2">
        <f t="shared" ref="J880:AE880" si="297">J$69*J$27*$F$15*(1-J$832*$F$16)*(1-$H$833*$F$16)</f>
        <v>0</v>
      </c>
      <c r="K880" s="2">
        <f t="shared" si="297"/>
        <v>0</v>
      </c>
      <c r="L880" s="2">
        <f t="shared" si="297"/>
        <v>0</v>
      </c>
      <c r="M880" s="2">
        <f t="shared" si="297"/>
        <v>0</v>
      </c>
      <c r="N880" s="2">
        <f t="shared" si="297"/>
        <v>0</v>
      </c>
      <c r="O880" s="2">
        <f t="shared" si="297"/>
        <v>0</v>
      </c>
      <c r="P880" s="2">
        <f t="shared" si="297"/>
        <v>215.13111873356479</v>
      </c>
      <c r="Q880" s="2">
        <f t="shared" si="297"/>
        <v>227.54517337678564</v>
      </c>
      <c r="R880" s="2">
        <f t="shared" si="297"/>
        <v>236.03175850211176</v>
      </c>
      <c r="S880" s="2">
        <f t="shared" si="297"/>
        <v>240.16174773343499</v>
      </c>
      <c r="T880" s="2">
        <f t="shared" si="297"/>
        <v>240.16174773343499</v>
      </c>
      <c r="U880" s="2">
        <f t="shared" si="297"/>
        <v>236.03175850211176</v>
      </c>
      <c r="V880" s="2">
        <f t="shared" si="297"/>
        <v>227.54517337678564</v>
      </c>
      <c r="W880" s="2">
        <f t="shared" si="297"/>
        <v>215.13111873356479</v>
      </c>
      <c r="X880" s="2">
        <f t="shared" si="297"/>
        <v>199.00320904837696</v>
      </c>
      <c r="Y880" s="2">
        <f t="shared" si="297"/>
        <v>179.48656992209322</v>
      </c>
      <c r="Z880" s="2">
        <f t="shared" si="297"/>
        <v>156.80476697020868</v>
      </c>
      <c r="AA880" s="2">
        <f t="shared" si="297"/>
        <v>131.30062526980328</v>
      </c>
      <c r="AB880" s="2">
        <f t="shared" si="297"/>
        <v>0</v>
      </c>
      <c r="AC880" s="2">
        <f t="shared" si="297"/>
        <v>0</v>
      </c>
      <c r="AD880" s="2">
        <f t="shared" si="297"/>
        <v>0</v>
      </c>
      <c r="AE880" s="2">
        <f t="shared" si="297"/>
        <v>0</v>
      </c>
      <c r="AF880" s="2"/>
    </row>
    <row r="881" spans="1:33">
      <c r="B881" s="5" t="s">
        <v>98</v>
      </c>
      <c r="C881" s="11"/>
      <c r="D881" t="s">
        <v>99</v>
      </c>
      <c r="E881" s="12"/>
      <c r="F881" s="18"/>
      <c r="G881" s="2" t="s">
        <v>860</v>
      </c>
      <c r="I881" s="2" t="s">
        <v>867</v>
      </c>
      <c r="K881" s="9"/>
      <c r="AF881" s="2"/>
    </row>
    <row r="882" spans="1:33">
      <c r="A882" s="11" t="s">
        <v>568</v>
      </c>
      <c r="B882" t="s">
        <v>883</v>
      </c>
      <c r="C882" s="11"/>
      <c r="E882" s="12"/>
      <c r="F882" s="18"/>
      <c r="G882" s="2" t="s">
        <v>113</v>
      </c>
      <c r="H882" s="2"/>
      <c r="J882" t="s">
        <v>868</v>
      </c>
      <c r="AF882" s="2"/>
    </row>
    <row r="883" spans="1:33">
      <c r="A883" s="11"/>
      <c r="B883" t="s">
        <v>114</v>
      </c>
      <c r="C883" s="11"/>
      <c r="E883" s="12"/>
      <c r="F883" s="18"/>
      <c r="G883" s="19"/>
      <c r="I883" s="12" t="s">
        <v>858</v>
      </c>
      <c r="K883" s="11"/>
      <c r="AF883" s="2"/>
    </row>
    <row r="884" spans="1:33">
      <c r="A884" s="11"/>
      <c r="B884" s="2" t="s">
        <v>115</v>
      </c>
      <c r="C884" s="11"/>
      <c r="E884" s="12"/>
      <c r="F884" s="18"/>
      <c r="G884" s="19"/>
      <c r="H884" s="2"/>
      <c r="K884" s="11"/>
      <c r="L884" s="12"/>
      <c r="AF884" s="2"/>
    </row>
    <row r="885" spans="1:33" ht="18">
      <c r="A885" s="20" t="s">
        <v>882</v>
      </c>
      <c r="G885" s="19">
        <f>SUM(H885:AE885)/48</f>
        <v>23.692180242637374</v>
      </c>
      <c r="H885" s="2">
        <f>H$69*$U$20*H$28^2*(1-H$832*$F$16)*(1-$H$833*$F$16)</f>
        <v>11.781215637531607</v>
      </c>
      <c r="I885" s="2">
        <f t="shared" ref="I885:AE885" si="298">I$69*$U$20*I$28^2*(1-I$832*$F$16)*(1-$H$833*$F$16)</f>
        <v>43.036215010490992</v>
      </c>
      <c r="J885" s="2">
        <f t="shared" si="298"/>
        <v>73.856523510813986</v>
      </c>
      <c r="K885" s="2">
        <f t="shared" si="298"/>
        <v>103.51036759934145</v>
      </c>
      <c r="L885" s="2">
        <f t="shared" si="298"/>
        <v>131.30062526980328</v>
      </c>
      <c r="M885" s="2">
        <f t="shared" si="298"/>
        <v>156.80476697020868</v>
      </c>
      <c r="N885" s="2">
        <f t="shared" si="298"/>
        <v>179.48656992209322</v>
      </c>
      <c r="O885" s="2">
        <f t="shared" si="298"/>
        <v>199.00320904837696</v>
      </c>
      <c r="P885" s="2">
        <f t="shared" si="298"/>
        <v>0.53782779683391291</v>
      </c>
      <c r="Q885" s="2">
        <f t="shared" si="298"/>
        <v>0.56886293344196515</v>
      </c>
      <c r="R885" s="2">
        <f t="shared" si="298"/>
        <v>0.59007939625528039</v>
      </c>
      <c r="S885" s="2">
        <f t="shared" si="298"/>
        <v>0.60040436933358865</v>
      </c>
      <c r="T885" s="2">
        <f t="shared" si="298"/>
        <v>0.60040436933358865</v>
      </c>
      <c r="U885" s="2">
        <f t="shared" si="298"/>
        <v>0.59007939625528039</v>
      </c>
      <c r="V885" s="2">
        <f t="shared" si="298"/>
        <v>0.56886293344196515</v>
      </c>
      <c r="W885" s="2">
        <f t="shared" si="298"/>
        <v>0.53782779683391291</v>
      </c>
      <c r="X885" s="2">
        <f t="shared" si="298"/>
        <v>0.49750802262094329</v>
      </c>
      <c r="Y885" s="2">
        <f t="shared" si="298"/>
        <v>0.44871642480523383</v>
      </c>
      <c r="Z885" s="2">
        <f t="shared" si="298"/>
        <v>0.39201191742552238</v>
      </c>
      <c r="AA885" s="2">
        <f t="shared" si="298"/>
        <v>0.32825156317450876</v>
      </c>
      <c r="AB885" s="2">
        <f t="shared" si="298"/>
        <v>103.51036759934145</v>
      </c>
      <c r="AC885" s="2">
        <f t="shared" si="298"/>
        <v>73.856523510813986</v>
      </c>
      <c r="AD885" s="2">
        <f t="shared" si="298"/>
        <v>43.036215010490992</v>
      </c>
      <c r="AE885" s="2">
        <f t="shared" si="298"/>
        <v>11.781215637531607</v>
      </c>
      <c r="AF885" s="2"/>
    </row>
    <row r="886" spans="1:33">
      <c r="A886" s="14"/>
      <c r="B886" s="5" t="s">
        <v>107</v>
      </c>
      <c r="G886" s="2"/>
      <c r="H886" s="2"/>
      <c r="I886" s="2"/>
      <c r="J886" s="10"/>
      <c r="K886" s="9"/>
      <c r="AF886" s="2"/>
    </row>
    <row r="887" spans="1:33">
      <c r="A887" s="11" t="s">
        <v>568</v>
      </c>
      <c r="B887" t="s">
        <v>726</v>
      </c>
      <c r="C887" s="11"/>
      <c r="E887" s="12"/>
      <c r="F887" s="18"/>
      <c r="G887" s="2" t="s">
        <v>113</v>
      </c>
      <c r="H887" s="2"/>
      <c r="J887" s="11"/>
      <c r="K887" t="s">
        <v>868</v>
      </c>
      <c r="M887" s="10"/>
      <c r="N887" s="10"/>
      <c r="AF887" s="2"/>
    </row>
    <row r="888" spans="1:33">
      <c r="A888" s="11"/>
      <c r="B888" t="s">
        <v>114</v>
      </c>
      <c r="C888" s="11"/>
      <c r="E888" s="12"/>
      <c r="F888" s="18"/>
      <c r="G888" s="19"/>
      <c r="H888" s="2"/>
      <c r="J888" s="11"/>
      <c r="M888" s="10"/>
      <c r="N888" s="10"/>
      <c r="AF888" s="2"/>
    </row>
    <row r="889" spans="1:33">
      <c r="A889" t="s">
        <v>834</v>
      </c>
      <c r="B889" s="5"/>
      <c r="C889" s="11"/>
      <c r="D889" s="5" t="s">
        <v>122</v>
      </c>
      <c r="F889" t="s">
        <v>261</v>
      </c>
      <c r="G889" s="97">
        <f>SUM(H889:AE889)/48</f>
        <v>0.81324152243601622</v>
      </c>
      <c r="H889" s="97">
        <f>H878*$H$833*$F$16</f>
        <v>0.12581194371835386</v>
      </c>
      <c r="I889" s="97">
        <f t="shared" ref="I889:AE889" si="299">I878*$H$833*$F$16</f>
        <v>0.46146081701666125</v>
      </c>
      <c r="J889" s="97">
        <f t="shared" si="299"/>
        <v>0.79256975831334342</v>
      </c>
      <c r="K889" s="97">
        <f t="shared" si="299"/>
        <v>1.1111600990024266</v>
      </c>
      <c r="L889" s="97">
        <f t="shared" si="299"/>
        <v>1.4097364885983696</v>
      </c>
      <c r="M889" s="97">
        <f t="shared" si="299"/>
        <v>1.6837740716656662</v>
      </c>
      <c r="N889" s="97">
        <f t="shared" si="299"/>
        <v>1.9274635983965736</v>
      </c>
      <c r="O889" s="97">
        <f t="shared" si="299"/>
        <v>2.1371473351514916</v>
      </c>
      <c r="P889" s="97">
        <f t="shared" si="299"/>
        <v>2.3104374145252837</v>
      </c>
      <c r="Q889" s="97">
        <f t="shared" si="299"/>
        <v>2.4438319153770198</v>
      </c>
      <c r="R889" s="97">
        <f t="shared" si="299"/>
        <v>2.5350167924387677</v>
      </c>
      <c r="S889" s="97">
        <f t="shared" si="299"/>
        <v>2.5793863042604315</v>
      </c>
      <c r="T889" s="97">
        <f t="shared" si="299"/>
        <v>2.5793863042604315</v>
      </c>
      <c r="U889" s="97">
        <f t="shared" si="299"/>
        <v>2.5350167924387677</v>
      </c>
      <c r="V889" s="97">
        <f t="shared" si="299"/>
        <v>2.4438319153770198</v>
      </c>
      <c r="W889" s="97">
        <f t="shared" si="299"/>
        <v>2.3104374145252837</v>
      </c>
      <c r="X889" s="97">
        <f t="shared" si="299"/>
        <v>2.1371473351514916</v>
      </c>
      <c r="Y889" s="97">
        <f t="shared" si="299"/>
        <v>1.9274635983965736</v>
      </c>
      <c r="Z889" s="97">
        <f t="shared" si="299"/>
        <v>1.6837740716656662</v>
      </c>
      <c r="AA889" s="97">
        <f t="shared" si="299"/>
        <v>1.4097364885983696</v>
      </c>
      <c r="AB889" s="97">
        <f t="shared" si="299"/>
        <v>1.1111600990024266</v>
      </c>
      <c r="AC889" s="97">
        <f t="shared" si="299"/>
        <v>0.79256975831334342</v>
      </c>
      <c r="AD889" s="97">
        <f t="shared" si="299"/>
        <v>0.46146081701666125</v>
      </c>
      <c r="AE889" s="97">
        <f t="shared" si="299"/>
        <v>0.12581194371835386</v>
      </c>
      <c r="AF889" s="28"/>
      <c r="AG889" s="11"/>
    </row>
    <row r="890" spans="1:33">
      <c r="A890" t="s">
        <v>918</v>
      </c>
      <c r="B890" s="5"/>
      <c r="C890" s="11"/>
      <c r="D890" s="104" t="s">
        <v>126</v>
      </c>
      <c r="G890" s="97">
        <f>SUM(H890:AE890)/48</f>
        <v>0.56926906570521141</v>
      </c>
      <c r="H890" s="97">
        <f>H889*($U$20*(1-H$27)+$F$15*H$27)</f>
        <v>8.8068360602847701E-2</v>
      </c>
      <c r="I890" s="97">
        <f t="shared" ref="I890:AE890" si="300">I889*($U$20*(1-I$27)+$F$15*I$27)</f>
        <v>0.32302257191166284</v>
      </c>
      <c r="J890" s="97">
        <f t="shared" si="300"/>
        <v>0.55479883081934034</v>
      </c>
      <c r="K890" s="97">
        <f t="shared" si="300"/>
        <v>0.77781206930169855</v>
      </c>
      <c r="L890" s="97">
        <f t="shared" si="300"/>
        <v>0.98681554201885868</v>
      </c>
      <c r="M890" s="97">
        <f t="shared" si="300"/>
        <v>1.1786418501659663</v>
      </c>
      <c r="N890" s="97">
        <f t="shared" si="300"/>
        <v>1.3492245188776013</v>
      </c>
      <c r="O890" s="97">
        <f t="shared" si="300"/>
        <v>1.4960031346060441</v>
      </c>
      <c r="P890" s="97">
        <f t="shared" si="300"/>
        <v>1.6173061901676986</v>
      </c>
      <c r="Q890" s="97">
        <f t="shared" si="300"/>
        <v>1.7106823407639138</v>
      </c>
      <c r="R890" s="97">
        <f t="shared" si="300"/>
        <v>1.7745117547071372</v>
      </c>
      <c r="S890" s="97">
        <f t="shared" si="300"/>
        <v>1.8055704129823018</v>
      </c>
      <c r="T890" s="97">
        <f t="shared" si="300"/>
        <v>1.8055704129823018</v>
      </c>
      <c r="U890" s="97">
        <f t="shared" si="300"/>
        <v>1.7745117547071372</v>
      </c>
      <c r="V890" s="97">
        <f t="shared" si="300"/>
        <v>1.7106823407639138</v>
      </c>
      <c r="W890" s="97">
        <f t="shared" si="300"/>
        <v>1.6173061901676986</v>
      </c>
      <c r="X890" s="97">
        <f t="shared" si="300"/>
        <v>1.4960031346060441</v>
      </c>
      <c r="Y890" s="97">
        <f t="shared" si="300"/>
        <v>1.3492245188776013</v>
      </c>
      <c r="Z890" s="97">
        <f t="shared" si="300"/>
        <v>1.1786418501659663</v>
      </c>
      <c r="AA890" s="97">
        <f t="shared" si="300"/>
        <v>0.98681554201885868</v>
      </c>
      <c r="AB890" s="97">
        <f t="shared" si="300"/>
        <v>0.77781206930169855</v>
      </c>
      <c r="AC890" s="97">
        <f t="shared" si="300"/>
        <v>0.55479883081934034</v>
      </c>
      <c r="AD890" s="97">
        <f t="shared" si="300"/>
        <v>0.32302257191166284</v>
      </c>
      <c r="AE890" s="97">
        <f t="shared" si="300"/>
        <v>8.8068360602847701E-2</v>
      </c>
      <c r="AF890" s="28"/>
      <c r="AG890" s="11"/>
    </row>
    <row r="891" spans="1:33">
      <c r="A891" s="20" t="s">
        <v>835</v>
      </c>
      <c r="B891" s="5"/>
      <c r="C891" s="11"/>
      <c r="G891" s="19">
        <f>SUM(H891:AE891)/48</f>
        <v>0.56309659079631669</v>
      </c>
      <c r="H891" s="24">
        <f>H890*(1-($F$16+$F$13)*$H$833)</f>
        <v>8.7113452319863532E-2</v>
      </c>
      <c r="I891" s="24">
        <f t="shared" ref="I891:AE891" si="301">I890*(1-($F$16+$F$13)*$H$833)</f>
        <v>0.31952010033846862</v>
      </c>
      <c r="J891" s="24">
        <f t="shared" si="301"/>
        <v>0.54878325388214244</v>
      </c>
      <c r="K891" s="24">
        <f t="shared" si="301"/>
        <v>0.76937840274429892</v>
      </c>
      <c r="L891" s="24">
        <f t="shared" si="301"/>
        <v>0.97611569103490792</v>
      </c>
      <c r="M891" s="24">
        <f t="shared" si="301"/>
        <v>1.1658620634447081</v>
      </c>
      <c r="N891" s="24">
        <f t="shared" si="301"/>
        <v>1.3345951371125468</v>
      </c>
      <c r="O891" s="24">
        <f t="shared" si="301"/>
        <v>1.4797822605619848</v>
      </c>
      <c r="P891" s="24">
        <f t="shared" si="301"/>
        <v>1.5997700504400929</v>
      </c>
      <c r="Q891" s="24">
        <f t="shared" si="301"/>
        <v>1.6921337414080473</v>
      </c>
      <c r="R891" s="24">
        <f t="shared" si="301"/>
        <v>1.7552710653015051</v>
      </c>
      <c r="S891" s="24">
        <f t="shared" si="301"/>
        <v>1.7859929605230336</v>
      </c>
      <c r="T891" s="24">
        <f t="shared" si="301"/>
        <v>1.7859929605230336</v>
      </c>
      <c r="U891" s="24">
        <f t="shared" si="301"/>
        <v>1.7552710653015051</v>
      </c>
      <c r="V891" s="24">
        <f t="shared" si="301"/>
        <v>1.6921337414080473</v>
      </c>
      <c r="W891" s="24">
        <f t="shared" si="301"/>
        <v>1.5997700504400929</v>
      </c>
      <c r="X891" s="24">
        <f t="shared" si="301"/>
        <v>1.4797822605619848</v>
      </c>
      <c r="Y891" s="24">
        <f t="shared" si="301"/>
        <v>1.3345951371125468</v>
      </c>
      <c r="Z891" s="24">
        <f t="shared" si="301"/>
        <v>1.1658620634447081</v>
      </c>
      <c r="AA891" s="24">
        <f t="shared" si="301"/>
        <v>0.97611569103490792</v>
      </c>
      <c r="AB891" s="24">
        <f t="shared" si="301"/>
        <v>0.76937840274429892</v>
      </c>
      <c r="AC891" s="24">
        <f t="shared" si="301"/>
        <v>0.54878325388214244</v>
      </c>
      <c r="AD891" s="24">
        <f t="shared" si="301"/>
        <v>0.31952010033846862</v>
      </c>
      <c r="AE891" s="24">
        <f t="shared" si="301"/>
        <v>8.7113452319863532E-2</v>
      </c>
      <c r="AF891" s="28"/>
      <c r="AG891" s="11"/>
    </row>
    <row r="892" spans="1:33">
      <c r="A892" s="20"/>
      <c r="B892" s="24" t="s">
        <v>134</v>
      </c>
      <c r="C892" s="11"/>
      <c r="G892" s="19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8"/>
      <c r="AG892" s="11"/>
    </row>
    <row r="893" spans="1:33">
      <c r="A893" s="100" t="s">
        <v>836</v>
      </c>
      <c r="B893" s="5"/>
      <c r="C893" s="11"/>
      <c r="G893" s="19">
        <f>SUM(H893:AE893)/48</f>
        <v>4.1794593947920263E-3</v>
      </c>
      <c r="H893" s="2">
        <f>H891^2/(H880+H885)</f>
        <v>6.4414011325873049E-4</v>
      </c>
      <c r="I893" s="2">
        <f t="shared" ref="I893:AE893" si="302">I891^2/(I880+I885)</f>
        <v>2.3722600720211501E-3</v>
      </c>
      <c r="J893" s="2">
        <f t="shared" si="302"/>
        <v>4.0776771695377198E-3</v>
      </c>
      <c r="K893" s="2">
        <f t="shared" si="302"/>
        <v>5.7186844210679304E-3</v>
      </c>
      <c r="L893" s="2">
        <f t="shared" si="302"/>
        <v>7.2566436018616787E-3</v>
      </c>
      <c r="M893" s="2">
        <f t="shared" si="302"/>
        <v>8.6683228912153767E-3</v>
      </c>
      <c r="N893" s="2">
        <f t="shared" si="302"/>
        <v>9.9235512761627204E-3</v>
      </c>
      <c r="O893" s="2">
        <f t="shared" si="302"/>
        <v>1.1003619233806506E-2</v>
      </c>
      <c r="P893" s="2">
        <f t="shared" si="302"/>
        <v>1.1866632890166073E-2</v>
      </c>
      <c r="Q893" s="2">
        <f t="shared" si="302"/>
        <v>1.2552128072108546E-2</v>
      </c>
      <c r="R893" s="2">
        <f t="shared" si="302"/>
        <v>1.3020676958852846E-2</v>
      </c>
      <c r="S893" s="2">
        <f t="shared" si="302"/>
        <v>1.3248639070464391E-2</v>
      </c>
      <c r="T893" s="2">
        <f t="shared" si="302"/>
        <v>1.3248639070464391E-2</v>
      </c>
      <c r="U893" s="2">
        <f t="shared" si="302"/>
        <v>1.3020676958852846E-2</v>
      </c>
      <c r="V893" s="2">
        <f t="shared" si="302"/>
        <v>1.2552128072108546E-2</v>
      </c>
      <c r="W893" s="2">
        <f t="shared" si="302"/>
        <v>1.1866632890166073E-2</v>
      </c>
      <c r="X893" s="2">
        <f t="shared" si="302"/>
        <v>1.0976178786839409E-2</v>
      </c>
      <c r="Y893" s="2">
        <f t="shared" si="302"/>
        <v>9.8988042654989724E-3</v>
      </c>
      <c r="Z893" s="2">
        <f t="shared" si="302"/>
        <v>8.6467061259006255E-3</v>
      </c>
      <c r="AA893" s="2">
        <f t="shared" si="302"/>
        <v>7.2385472337772351E-3</v>
      </c>
      <c r="AB893" s="2">
        <f t="shared" si="302"/>
        <v>5.7186844210679304E-3</v>
      </c>
      <c r="AC893" s="2">
        <f t="shared" si="302"/>
        <v>4.0776771695377198E-3</v>
      </c>
      <c r="AD893" s="2">
        <f t="shared" si="302"/>
        <v>2.3722600720211501E-3</v>
      </c>
      <c r="AE893" s="2">
        <f t="shared" si="302"/>
        <v>6.4414011325873049E-4</v>
      </c>
      <c r="AF893" s="28"/>
      <c r="AG893" s="11"/>
    </row>
    <row r="894" spans="1:33" ht="18">
      <c r="A894" s="100"/>
      <c r="B894" s="24" t="s">
        <v>262</v>
      </c>
      <c r="C894" s="11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8"/>
      <c r="AG894" s="11"/>
    </row>
    <row r="895" spans="1:33" ht="18">
      <c r="A895" s="20" t="s">
        <v>890</v>
      </c>
      <c r="G895" s="19">
        <f>(SUM(H895:AE895)+24*$U$24*(1-$H$833))/48</f>
        <v>215.84522844809953</v>
      </c>
      <c r="H895" s="2">
        <f>$U$24*(1-H$27)*(1-$H$833)</f>
        <v>287.79363793079938</v>
      </c>
      <c r="I895" s="2">
        <f t="shared" ref="I895:AE895" si="303">$U$24*(1-I$27)*(1-$H$833)</f>
        <v>287.79363793079938</v>
      </c>
      <c r="J895" s="2">
        <f t="shared" si="303"/>
        <v>287.79363793079938</v>
      </c>
      <c r="K895" s="2">
        <f t="shared" si="303"/>
        <v>287.79363793079938</v>
      </c>
      <c r="L895" s="2">
        <f t="shared" si="303"/>
        <v>287.79363793079938</v>
      </c>
      <c r="M895" s="2">
        <f t="shared" si="303"/>
        <v>287.79363793079938</v>
      </c>
      <c r="N895" s="2">
        <f t="shared" si="303"/>
        <v>287.79363793079938</v>
      </c>
      <c r="O895" s="2">
        <f t="shared" si="303"/>
        <v>287.79363793079938</v>
      </c>
      <c r="P895" s="2">
        <f t="shared" si="303"/>
        <v>0</v>
      </c>
      <c r="Q895" s="2">
        <f t="shared" si="303"/>
        <v>0</v>
      </c>
      <c r="R895" s="2">
        <f t="shared" si="303"/>
        <v>0</v>
      </c>
      <c r="S895" s="2">
        <f t="shared" si="303"/>
        <v>0</v>
      </c>
      <c r="T895" s="2">
        <f t="shared" si="303"/>
        <v>0</v>
      </c>
      <c r="U895" s="2">
        <f t="shared" si="303"/>
        <v>0</v>
      </c>
      <c r="V895" s="2">
        <f t="shared" si="303"/>
        <v>0</v>
      </c>
      <c r="W895" s="2">
        <f t="shared" si="303"/>
        <v>0</v>
      </c>
      <c r="X895" s="2">
        <f t="shared" si="303"/>
        <v>0</v>
      </c>
      <c r="Y895" s="2">
        <f t="shared" si="303"/>
        <v>0</v>
      </c>
      <c r="Z895" s="2">
        <f t="shared" si="303"/>
        <v>0</v>
      </c>
      <c r="AA895" s="2">
        <f t="shared" si="303"/>
        <v>0</v>
      </c>
      <c r="AB895" s="2">
        <f t="shared" si="303"/>
        <v>287.79363793079938</v>
      </c>
      <c r="AC895" s="2">
        <f t="shared" si="303"/>
        <v>287.79363793079938</v>
      </c>
      <c r="AD895" s="2">
        <f t="shared" si="303"/>
        <v>287.79363793079938</v>
      </c>
      <c r="AE895" s="2">
        <f t="shared" si="303"/>
        <v>287.79363793079938</v>
      </c>
      <c r="AF895" s="2"/>
    </row>
    <row r="896" spans="1:33">
      <c r="A896" s="14"/>
      <c r="B896" s="5" t="s">
        <v>116</v>
      </c>
      <c r="D896" t="s">
        <v>125</v>
      </c>
      <c r="E896" s="12"/>
      <c r="F896" s="6"/>
      <c r="G896" s="2" t="s">
        <v>860</v>
      </c>
      <c r="I896" s="2" t="s">
        <v>117</v>
      </c>
      <c r="J896" s="10"/>
      <c r="K896" s="9"/>
      <c r="AF896" s="2"/>
    </row>
    <row r="897" spans="1:33" ht="18">
      <c r="A897" s="20" t="s">
        <v>891</v>
      </c>
      <c r="D897" s="105" t="s">
        <v>892</v>
      </c>
      <c r="E897">
        <f>$F$7</f>
        <v>-5</v>
      </c>
      <c r="F897" s="5" t="s">
        <v>893</v>
      </c>
      <c r="G897" s="19">
        <f>SUM(H897:AE897)/48</f>
        <v>71.948409482699844</v>
      </c>
      <c r="H897" s="2">
        <f t="shared" ref="H897:AE897" si="304">$M$9*($F$7+273)^4*H$27*(1-$H$833)</f>
        <v>0</v>
      </c>
      <c r="I897" s="2">
        <f t="shared" si="304"/>
        <v>0</v>
      </c>
      <c r="J897" s="2">
        <f t="shared" si="304"/>
        <v>0</v>
      </c>
      <c r="K897" s="2">
        <f t="shared" si="304"/>
        <v>0</v>
      </c>
      <c r="L897" s="2">
        <f t="shared" si="304"/>
        <v>0</v>
      </c>
      <c r="M897" s="2">
        <f t="shared" si="304"/>
        <v>0</v>
      </c>
      <c r="N897" s="2">
        <f t="shared" si="304"/>
        <v>0</v>
      </c>
      <c r="O897" s="2">
        <f t="shared" si="304"/>
        <v>0</v>
      </c>
      <c r="P897" s="2">
        <f t="shared" si="304"/>
        <v>287.79363793079938</v>
      </c>
      <c r="Q897" s="2">
        <f t="shared" si="304"/>
        <v>287.79363793079938</v>
      </c>
      <c r="R897" s="2">
        <f t="shared" si="304"/>
        <v>287.79363793079938</v>
      </c>
      <c r="S897" s="2">
        <f t="shared" si="304"/>
        <v>287.79363793079938</v>
      </c>
      <c r="T897" s="2">
        <f t="shared" si="304"/>
        <v>287.79363793079938</v>
      </c>
      <c r="U897" s="2">
        <f t="shared" si="304"/>
        <v>287.79363793079938</v>
      </c>
      <c r="V897" s="2">
        <f t="shared" si="304"/>
        <v>287.79363793079938</v>
      </c>
      <c r="W897" s="2">
        <f t="shared" si="304"/>
        <v>287.79363793079938</v>
      </c>
      <c r="X897" s="2">
        <f t="shared" si="304"/>
        <v>287.79363793079938</v>
      </c>
      <c r="Y897" s="2">
        <f t="shared" si="304"/>
        <v>287.79363793079938</v>
      </c>
      <c r="Z897" s="2">
        <f t="shared" si="304"/>
        <v>287.79363793079938</v>
      </c>
      <c r="AA897" s="2">
        <f t="shared" si="304"/>
        <v>287.79363793079938</v>
      </c>
      <c r="AB897" s="2">
        <f t="shared" si="304"/>
        <v>0</v>
      </c>
      <c r="AC897" s="2">
        <f t="shared" si="304"/>
        <v>0</v>
      </c>
      <c r="AD897" s="2">
        <f t="shared" si="304"/>
        <v>0</v>
      </c>
      <c r="AE897" s="2">
        <f t="shared" si="304"/>
        <v>0</v>
      </c>
      <c r="AF897" s="2"/>
    </row>
    <row r="898" spans="1:33">
      <c r="A898" s="14"/>
      <c r="B898" t="s">
        <v>118</v>
      </c>
      <c r="D898" t="s">
        <v>744</v>
      </c>
      <c r="E898" s="30"/>
      <c r="F898" t="s">
        <v>618</v>
      </c>
      <c r="H898" s="2" t="s">
        <v>860</v>
      </c>
      <c r="I898" s="2"/>
      <c r="J898" s="2" t="s">
        <v>119</v>
      </c>
      <c r="K898" s="9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3">
      <c r="A899" s="20" t="s">
        <v>914</v>
      </c>
      <c r="B899" s="11"/>
      <c r="C899" s="11"/>
      <c r="D899" s="11"/>
      <c r="E899" s="27"/>
      <c r="F899" s="6"/>
      <c r="G899" s="19">
        <f>SUM(H899:AE899)/24</f>
        <v>2.5618512323568008</v>
      </c>
      <c r="H899" s="24">
        <f t="shared" ref="H899:AE899" si="305">$M$9*($F$9+273)^4*$F$10*$F$18</f>
        <v>2.5618512323567995</v>
      </c>
      <c r="I899" s="24">
        <f t="shared" si="305"/>
        <v>2.5618512323567995</v>
      </c>
      <c r="J899" s="24">
        <f t="shared" si="305"/>
        <v>2.5618512323567995</v>
      </c>
      <c r="K899" s="24">
        <f t="shared" si="305"/>
        <v>2.5618512323567995</v>
      </c>
      <c r="L899" s="24">
        <f t="shared" si="305"/>
        <v>2.5618512323567995</v>
      </c>
      <c r="M899" s="24">
        <f t="shared" si="305"/>
        <v>2.5618512323567995</v>
      </c>
      <c r="N899" s="24">
        <f t="shared" si="305"/>
        <v>2.5618512323567995</v>
      </c>
      <c r="O899" s="24">
        <f t="shared" si="305"/>
        <v>2.5618512323567995</v>
      </c>
      <c r="P899" s="24">
        <f t="shared" si="305"/>
        <v>2.5618512323567995</v>
      </c>
      <c r="Q899" s="24">
        <f t="shared" si="305"/>
        <v>2.5618512323567995</v>
      </c>
      <c r="R899" s="24">
        <f t="shared" si="305"/>
        <v>2.5618512323567995</v>
      </c>
      <c r="S899" s="24">
        <f t="shared" si="305"/>
        <v>2.5618512323567995</v>
      </c>
      <c r="T899" s="24">
        <f t="shared" si="305"/>
        <v>2.5618512323567995</v>
      </c>
      <c r="U899" s="24">
        <f t="shared" si="305"/>
        <v>2.5618512323567995</v>
      </c>
      <c r="V899" s="24">
        <f t="shared" si="305"/>
        <v>2.5618512323567995</v>
      </c>
      <c r="W899" s="24">
        <f t="shared" si="305"/>
        <v>2.5618512323567995</v>
      </c>
      <c r="X899" s="24">
        <f t="shared" si="305"/>
        <v>2.5618512323567995</v>
      </c>
      <c r="Y899" s="24">
        <f t="shared" si="305"/>
        <v>2.5618512323567995</v>
      </c>
      <c r="Z899" s="24">
        <f t="shared" si="305"/>
        <v>2.5618512323567995</v>
      </c>
      <c r="AA899" s="24">
        <f t="shared" si="305"/>
        <v>2.5618512323567995</v>
      </c>
      <c r="AB899" s="24">
        <f t="shared" si="305"/>
        <v>2.5618512323567995</v>
      </c>
      <c r="AC899" s="24">
        <f t="shared" si="305"/>
        <v>2.5618512323567995</v>
      </c>
      <c r="AD899" s="24">
        <f t="shared" si="305"/>
        <v>2.5618512323567995</v>
      </c>
      <c r="AE899" s="24">
        <f t="shared" si="305"/>
        <v>2.5618512323567995</v>
      </c>
      <c r="AF899" s="28"/>
      <c r="AG899" s="11"/>
    </row>
    <row r="900" spans="1:33">
      <c r="A900" s="20"/>
      <c r="B900" s="5" t="s">
        <v>923</v>
      </c>
      <c r="C900" s="11"/>
      <c r="D900" t="s">
        <v>743</v>
      </c>
      <c r="E900" s="27"/>
      <c r="F900" s="6"/>
      <c r="G900" s="28"/>
      <c r="H900" t="s">
        <v>717</v>
      </c>
      <c r="I900" s="29"/>
      <c r="J900" s="11"/>
      <c r="K900" s="2" t="s">
        <v>719</v>
      </c>
      <c r="L900" s="11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11"/>
    </row>
    <row r="901" spans="1:33">
      <c r="A901" s="20"/>
      <c r="B901" s="27" t="s">
        <v>925</v>
      </c>
      <c r="C901" s="11" t="s">
        <v>924</v>
      </c>
      <c r="E901" s="27"/>
      <c r="F901" s="6"/>
      <c r="G901" s="28"/>
      <c r="I901" s="29"/>
      <c r="J901" s="11"/>
      <c r="K901" s="2"/>
      <c r="L901" s="11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11"/>
    </row>
    <row r="902" spans="1:33">
      <c r="A902" s="20"/>
      <c r="B902" s="14"/>
      <c r="C902" t="s">
        <v>926</v>
      </c>
      <c r="E902" s="27"/>
      <c r="F902" s="6"/>
      <c r="G902" s="28"/>
      <c r="I902" s="29"/>
      <c r="J902" s="11"/>
      <c r="K902" s="2"/>
      <c r="L902" s="11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11"/>
    </row>
    <row r="903" spans="1:33">
      <c r="A903" s="3"/>
      <c r="B903" s="16" t="s">
        <v>741</v>
      </c>
      <c r="E903" s="12"/>
      <c r="F903" s="6"/>
      <c r="G903" s="32">
        <f>G874+G880+G885+G891+G893+G895+G897+G899</f>
        <v>370.08912765971905</v>
      </c>
      <c r="H903" s="2"/>
      <c r="I903" s="29"/>
      <c r="K903" s="10"/>
      <c r="L903" s="3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3">
      <c r="A904" s="20"/>
      <c r="B904" s="16" t="s">
        <v>725</v>
      </c>
      <c r="E904" s="30"/>
      <c r="F904" s="6"/>
      <c r="G904" s="32">
        <f>G871-G903</f>
        <v>2.9503419829014206</v>
      </c>
      <c r="H904" s="33"/>
      <c r="I904" s="8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3">
      <c r="A905" s="39" t="s">
        <v>512</v>
      </c>
      <c r="B905" s="16"/>
      <c r="E905" s="30"/>
      <c r="F905" s="12"/>
      <c r="G905" s="32"/>
      <c r="H905" s="33"/>
      <c r="I905" s="3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3">
      <c r="A906" s="3" t="s">
        <v>977</v>
      </c>
      <c r="E906" s="12"/>
      <c r="F906" s="6"/>
      <c r="G906" s="87" t="s">
        <v>535</v>
      </c>
      <c r="H906" s="21"/>
      <c r="I906" s="2"/>
      <c r="J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3">
      <c r="A907" s="20" t="s">
        <v>935</v>
      </c>
      <c r="B907" s="11"/>
      <c r="C907" s="11"/>
      <c r="E907" s="14" t="s">
        <v>563</v>
      </c>
      <c r="F907" s="31">
        <f>$F$15</f>
        <v>0.7</v>
      </c>
      <c r="G907" s="19">
        <f>SUM(H907:AE907)/48</f>
        <v>78.859498700525236</v>
      </c>
      <c r="H907" s="2">
        <f>H$69*$F$15</f>
        <v>15.531299709801685</v>
      </c>
      <c r="I907" s="2">
        <f t="shared" ref="I907:AE907" si="306">I$69*$F$15</f>
        <v>47.911987720242806</v>
      </c>
      <c r="J907" s="2">
        <f t="shared" si="306"/>
        <v>79.23917376842833</v>
      </c>
      <c r="K907" s="2">
        <f t="shared" si="306"/>
        <v>109.31971760617094</v>
      </c>
      <c r="L907" s="2">
        <f t="shared" si="306"/>
        <v>137.47337011967952</v>
      </c>
      <c r="M907" s="2">
        <f t="shared" si="306"/>
        <v>163.20260686474126</v>
      </c>
      <c r="N907" s="2">
        <f t="shared" si="306"/>
        <v>186.19049908437867</v>
      </c>
      <c r="O907" s="2">
        <f t="shared" si="306"/>
        <v>205.96955011808203</v>
      </c>
      <c r="P907" s="2">
        <f t="shared" si="306"/>
        <v>222.24692995417652</v>
      </c>
      <c r="Q907" s="2">
        <f t="shared" si="306"/>
        <v>234.73463754742613</v>
      </c>
      <c r="R907" s="2">
        <f t="shared" si="306"/>
        <v>243.30557564161614</v>
      </c>
      <c r="S907" s="2">
        <f t="shared" si="306"/>
        <v>247.50262067786113</v>
      </c>
      <c r="T907" s="2">
        <f t="shared" si="306"/>
        <v>247.50262067786113</v>
      </c>
      <c r="U907" s="2">
        <f t="shared" si="306"/>
        <v>243.30557564161614</v>
      </c>
      <c r="V907" s="2">
        <f t="shared" si="306"/>
        <v>234.73463754742613</v>
      </c>
      <c r="W907" s="2">
        <f t="shared" si="306"/>
        <v>222.24692995417652</v>
      </c>
      <c r="X907" s="2">
        <f t="shared" si="306"/>
        <v>205.96955011808203</v>
      </c>
      <c r="Y907" s="2">
        <f t="shared" si="306"/>
        <v>186.19049908437867</v>
      </c>
      <c r="Z907" s="2">
        <f t="shared" si="306"/>
        <v>163.20260686474126</v>
      </c>
      <c r="AA907" s="2">
        <f t="shared" si="306"/>
        <v>137.47337011967952</v>
      </c>
      <c r="AB907" s="2">
        <f t="shared" si="306"/>
        <v>109.31971760617094</v>
      </c>
      <c r="AC907" s="2">
        <f t="shared" si="306"/>
        <v>79.23917376842833</v>
      </c>
      <c r="AD907" s="2">
        <f t="shared" si="306"/>
        <v>47.911987720242806</v>
      </c>
      <c r="AE907" s="2">
        <f t="shared" si="306"/>
        <v>15.531299709801685</v>
      </c>
      <c r="AF907" s="28"/>
      <c r="AG907" s="11"/>
    </row>
    <row r="908" spans="1:33">
      <c r="A908" s="3"/>
      <c r="B908" s="5" t="s">
        <v>100</v>
      </c>
      <c r="C908" s="11"/>
      <c r="D908" t="s">
        <v>124</v>
      </c>
      <c r="F908" s="27"/>
      <c r="G908" s="2"/>
      <c r="H908" s="2" t="s">
        <v>1019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8"/>
      <c r="AG908" s="11"/>
    </row>
    <row r="909" spans="1:33">
      <c r="A909" s="20" t="s">
        <v>936</v>
      </c>
      <c r="B909" s="11"/>
      <c r="C909" s="11"/>
      <c r="D909" s="24" t="s">
        <v>1013</v>
      </c>
      <c r="E909" s="27"/>
      <c r="F909" s="6" t="s">
        <v>1049</v>
      </c>
      <c r="G909" s="19">
        <f>SUM(H909:AE909)/24</f>
        <v>294.0451576320001</v>
      </c>
      <c r="H909" s="2">
        <f t="shared" ref="H909:AE909" si="307">$M$9*($F$7+273)^4</f>
        <v>294.04515763199998</v>
      </c>
      <c r="I909" s="2">
        <f t="shared" si="307"/>
        <v>294.04515763199998</v>
      </c>
      <c r="J909" s="2">
        <f t="shared" si="307"/>
        <v>294.04515763199998</v>
      </c>
      <c r="K909" s="2">
        <f t="shared" si="307"/>
        <v>294.04515763199998</v>
      </c>
      <c r="L909" s="2">
        <f t="shared" si="307"/>
        <v>294.04515763199998</v>
      </c>
      <c r="M909" s="2">
        <f t="shared" si="307"/>
        <v>294.04515763199998</v>
      </c>
      <c r="N909" s="2">
        <f t="shared" si="307"/>
        <v>294.04515763199998</v>
      </c>
      <c r="O909" s="2">
        <f t="shared" si="307"/>
        <v>294.04515763199998</v>
      </c>
      <c r="P909" s="2">
        <f t="shared" si="307"/>
        <v>294.04515763199998</v>
      </c>
      <c r="Q909" s="2">
        <f t="shared" si="307"/>
        <v>294.04515763199998</v>
      </c>
      <c r="R909" s="2">
        <f t="shared" si="307"/>
        <v>294.04515763199998</v>
      </c>
      <c r="S909" s="2">
        <f t="shared" si="307"/>
        <v>294.04515763199998</v>
      </c>
      <c r="T909" s="2">
        <f t="shared" si="307"/>
        <v>294.04515763199998</v>
      </c>
      <c r="U909" s="2">
        <f t="shared" si="307"/>
        <v>294.04515763199998</v>
      </c>
      <c r="V909" s="2">
        <f t="shared" si="307"/>
        <v>294.04515763199998</v>
      </c>
      <c r="W909" s="2">
        <f t="shared" si="307"/>
        <v>294.04515763199998</v>
      </c>
      <c r="X909" s="2">
        <f t="shared" si="307"/>
        <v>294.04515763199998</v>
      </c>
      <c r="Y909" s="2">
        <f t="shared" si="307"/>
        <v>294.04515763199998</v>
      </c>
      <c r="Z909" s="2">
        <f t="shared" si="307"/>
        <v>294.04515763199998</v>
      </c>
      <c r="AA909" s="2">
        <f t="shared" si="307"/>
        <v>294.04515763199998</v>
      </c>
      <c r="AB909" s="2">
        <f t="shared" si="307"/>
        <v>294.04515763199998</v>
      </c>
      <c r="AC909" s="2">
        <f t="shared" si="307"/>
        <v>294.04515763199998</v>
      </c>
      <c r="AD909" s="2">
        <f t="shared" si="307"/>
        <v>294.04515763199998</v>
      </c>
      <c r="AE909" s="2">
        <f t="shared" si="307"/>
        <v>294.04515763199998</v>
      </c>
      <c r="AF909" s="28"/>
      <c r="AG909" s="11"/>
    </row>
    <row r="910" spans="1:33">
      <c r="A910" s="20"/>
      <c r="B910" s="16" t="s">
        <v>729</v>
      </c>
      <c r="C910" s="11"/>
      <c r="D910" s="11"/>
      <c r="E910" s="21"/>
      <c r="F910" s="21"/>
      <c r="G910" s="82">
        <f>G907+G909</f>
        <v>372.90465633252535</v>
      </c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8"/>
      <c r="AG910" s="11"/>
    </row>
    <row r="911" spans="1:33">
      <c r="A911" s="39" t="s">
        <v>512</v>
      </c>
      <c r="B911" s="16"/>
      <c r="C911" s="11"/>
      <c r="D911" s="11"/>
      <c r="E911" s="21"/>
      <c r="F911" s="21"/>
      <c r="G911" s="82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8"/>
      <c r="AG911" s="11"/>
    </row>
    <row r="912" spans="1:33">
      <c r="A912" s="3" t="s">
        <v>728</v>
      </c>
      <c r="B912" s="16"/>
      <c r="C912" s="11"/>
      <c r="D912" s="11"/>
      <c r="E912" s="21"/>
      <c r="F912" s="21"/>
      <c r="G912" s="82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8"/>
      <c r="AG912" s="11"/>
    </row>
    <row r="913" spans="1:33">
      <c r="A913" s="3" t="s">
        <v>877</v>
      </c>
      <c r="G913" s="19">
        <f>SUM(H913:AE913)/48</f>
        <v>3.3005412057703345</v>
      </c>
      <c r="H913" s="24">
        <f>H$69*H$832*$F$16</f>
        <v>5.1764310819053136</v>
      </c>
      <c r="I913" s="24">
        <f t="shared" ref="I913:AE913" si="308">I$69*I$832*$F$16</f>
        <v>6.3048194165016085</v>
      </c>
      <c r="J913" s="24">
        <f t="shared" si="308"/>
        <v>6.5558640527702066</v>
      </c>
      <c r="K913" s="24">
        <f t="shared" si="308"/>
        <v>6.7102732369294031</v>
      </c>
      <c r="L913" s="24">
        <f t="shared" si="308"/>
        <v>6.8028513450909269</v>
      </c>
      <c r="M913" s="24">
        <f t="shared" si="308"/>
        <v>6.7329482947482377</v>
      </c>
      <c r="N913" s="24">
        <f t="shared" si="308"/>
        <v>6.8220718338953672</v>
      </c>
      <c r="O913" s="24">
        <f t="shared" si="308"/>
        <v>6.8973817807866826</v>
      </c>
      <c r="P913" s="24">
        <f t="shared" si="308"/>
        <v>6.8633605446011474</v>
      </c>
      <c r="Q913" s="24">
        <f t="shared" si="308"/>
        <v>6.7780336128497645</v>
      </c>
      <c r="R913" s="24">
        <f t="shared" si="308"/>
        <v>6.7682758185424889</v>
      </c>
      <c r="S913" s="24">
        <f t="shared" si="308"/>
        <v>6.8006779198668639</v>
      </c>
      <c r="T913" s="24">
        <f t="shared" si="308"/>
        <v>6.8006779198668639</v>
      </c>
      <c r="U913" s="24">
        <f t="shared" si="308"/>
        <v>6.7682758185424889</v>
      </c>
      <c r="V913" s="24">
        <f t="shared" si="308"/>
        <v>6.7780336128497645</v>
      </c>
      <c r="W913" s="24">
        <f t="shared" si="308"/>
        <v>6.8633605446011474</v>
      </c>
      <c r="X913" s="24">
        <f t="shared" si="308"/>
        <v>6.8973817807866826</v>
      </c>
      <c r="Y913" s="24">
        <f t="shared" si="308"/>
        <v>6.8220718338953672</v>
      </c>
      <c r="Z913" s="24">
        <f t="shared" si="308"/>
        <v>6.7329482947482377</v>
      </c>
      <c r="AA913" s="24">
        <f t="shared" si="308"/>
        <v>6.8028513450909269</v>
      </c>
      <c r="AB913" s="24">
        <f t="shared" si="308"/>
        <v>6.7102732369294031</v>
      </c>
      <c r="AC913" s="24">
        <f t="shared" si="308"/>
        <v>6.5558640527702066</v>
      </c>
      <c r="AD913" s="24">
        <f t="shared" si="308"/>
        <v>6.3048194165016085</v>
      </c>
      <c r="AE913" s="24">
        <f t="shared" si="308"/>
        <v>5.1764310819053136</v>
      </c>
      <c r="AF913" s="28"/>
      <c r="AG913" s="11"/>
    </row>
    <row r="914" spans="1:33">
      <c r="B914" s="5" t="s">
        <v>101</v>
      </c>
      <c r="D914" t="s">
        <v>99</v>
      </c>
      <c r="G914" t="s">
        <v>894</v>
      </c>
      <c r="J914" s="2"/>
      <c r="K914" s="2" t="s">
        <v>105</v>
      </c>
      <c r="L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3">
      <c r="A915" t="s">
        <v>879</v>
      </c>
      <c r="C915" s="11"/>
      <c r="G915" s="98">
        <f>SUM(H915:AE915)/48</f>
        <v>109.28987468515031</v>
      </c>
      <c r="H915" s="97">
        <f>H$69*(1-($F$16+$F$13)*H$832)</f>
        <v>16.907611310458989</v>
      </c>
      <c r="I915" s="97">
        <f t="shared" ref="I915:AE915" si="309">I$69*(1-($F$16+$F$13)*I$832)</f>
        <v>62.014780938372368</v>
      </c>
      <c r="J915" s="97">
        <f t="shared" si="309"/>
        <v>106.51183833535772</v>
      </c>
      <c r="K915" s="97">
        <f t="shared" si="309"/>
        <v>149.3265464500048</v>
      </c>
      <c r="L915" s="97">
        <f t="shared" si="309"/>
        <v>189.45162037040657</v>
      </c>
      <c r="M915" s="97">
        <f t="shared" si="309"/>
        <v>226.27897397470147</v>
      </c>
      <c r="N915" s="97">
        <f t="shared" si="309"/>
        <v>259.02791399282489</v>
      </c>
      <c r="O915" s="97">
        <f t="shared" si="309"/>
        <v>287.20688503800051</v>
      </c>
      <c r="P915" s="97">
        <f t="shared" si="309"/>
        <v>310.49498646475905</v>
      </c>
      <c r="Q915" s="97">
        <f t="shared" si="309"/>
        <v>328.42160221121634</v>
      </c>
      <c r="R915" s="97">
        <f t="shared" si="309"/>
        <v>340.67575243882402</v>
      </c>
      <c r="S915" s="97">
        <f t="shared" si="309"/>
        <v>346.63848091868027</v>
      </c>
      <c r="T915" s="97">
        <f t="shared" si="309"/>
        <v>346.63848091868027</v>
      </c>
      <c r="U915" s="97">
        <f t="shared" si="309"/>
        <v>340.67575243882402</v>
      </c>
      <c r="V915" s="97">
        <f t="shared" si="309"/>
        <v>328.42160221121634</v>
      </c>
      <c r="W915" s="97">
        <f t="shared" si="309"/>
        <v>310.49498646475905</v>
      </c>
      <c r="X915" s="97">
        <f t="shared" si="309"/>
        <v>287.20688503800051</v>
      </c>
      <c r="Y915" s="97">
        <f t="shared" si="309"/>
        <v>259.02791399282489</v>
      </c>
      <c r="Z915" s="97">
        <f t="shared" si="309"/>
        <v>226.27897397470147</v>
      </c>
      <c r="AA915" s="97">
        <f t="shared" si="309"/>
        <v>189.45162037040657</v>
      </c>
      <c r="AB915" s="97">
        <f t="shared" si="309"/>
        <v>149.3265464500048</v>
      </c>
      <c r="AC915" s="97">
        <f t="shared" si="309"/>
        <v>106.51183833535772</v>
      </c>
      <c r="AD915" s="97">
        <f t="shared" si="309"/>
        <v>62.014780938372368</v>
      </c>
      <c r="AE915" s="97">
        <f t="shared" si="309"/>
        <v>16.907611310458989</v>
      </c>
      <c r="AF915" s="28"/>
      <c r="AG915" s="11"/>
    </row>
    <row r="916" spans="1:33">
      <c r="B916" s="24" t="s">
        <v>103</v>
      </c>
      <c r="D916" s="2" t="s">
        <v>123</v>
      </c>
      <c r="E916" s="24" t="s">
        <v>880</v>
      </c>
      <c r="G916" t="s">
        <v>853</v>
      </c>
      <c r="I916" t="s">
        <v>104</v>
      </c>
      <c r="AF916" s="28"/>
      <c r="AG916" s="11"/>
    </row>
    <row r="917" spans="1:33">
      <c r="A917" t="s">
        <v>895</v>
      </c>
      <c r="C917" s="11"/>
      <c r="D917" s="24"/>
      <c r="G917" s="97">
        <f>SUM(H917:AE917)/48</f>
        <v>76.502912279605212</v>
      </c>
      <c r="H917" s="97">
        <f>H915*$F$15</f>
        <v>11.835327917321292</v>
      </c>
      <c r="I917" s="97">
        <f t="shared" ref="I917:AE917" si="310">I915*$F$15</f>
        <v>43.410346656860654</v>
      </c>
      <c r="J917" s="97">
        <f t="shared" si="310"/>
        <v>74.558286834750405</v>
      </c>
      <c r="K917" s="97">
        <f t="shared" si="310"/>
        <v>104.52858251500335</v>
      </c>
      <c r="L917" s="97">
        <f t="shared" si="310"/>
        <v>132.61613425928459</v>
      </c>
      <c r="M917" s="97">
        <f t="shared" si="310"/>
        <v>158.39528178229102</v>
      </c>
      <c r="N917" s="97">
        <f t="shared" si="310"/>
        <v>181.3195397949774</v>
      </c>
      <c r="O917" s="97">
        <f t="shared" si="310"/>
        <v>201.04481952660035</v>
      </c>
      <c r="P917" s="97">
        <f t="shared" si="310"/>
        <v>217.34649052533132</v>
      </c>
      <c r="Q917" s="97">
        <f t="shared" si="310"/>
        <v>229.89512154785143</v>
      </c>
      <c r="R917" s="97">
        <f t="shared" si="310"/>
        <v>238.47302670717679</v>
      </c>
      <c r="S917" s="97">
        <f t="shared" si="310"/>
        <v>242.64693664307617</v>
      </c>
      <c r="T917" s="97">
        <f t="shared" si="310"/>
        <v>242.64693664307617</v>
      </c>
      <c r="U917" s="97">
        <f t="shared" si="310"/>
        <v>238.47302670717679</v>
      </c>
      <c r="V917" s="97">
        <f t="shared" si="310"/>
        <v>229.89512154785143</v>
      </c>
      <c r="W917" s="97">
        <f t="shared" si="310"/>
        <v>217.34649052533132</v>
      </c>
      <c r="X917" s="97">
        <f t="shared" si="310"/>
        <v>201.04481952660035</v>
      </c>
      <c r="Y917" s="97">
        <f t="shared" si="310"/>
        <v>181.3195397949774</v>
      </c>
      <c r="Z917" s="97">
        <f t="shared" si="310"/>
        <v>158.39528178229102</v>
      </c>
      <c r="AA917" s="97">
        <f t="shared" si="310"/>
        <v>132.61613425928459</v>
      </c>
      <c r="AB917" s="97">
        <f t="shared" si="310"/>
        <v>104.52858251500335</v>
      </c>
      <c r="AC917" s="97">
        <f t="shared" si="310"/>
        <v>74.558286834750405</v>
      </c>
      <c r="AD917" s="97">
        <f t="shared" si="310"/>
        <v>43.410346656860654</v>
      </c>
      <c r="AE917" s="97">
        <f t="shared" si="310"/>
        <v>11.835327917321292</v>
      </c>
      <c r="AF917" s="28"/>
      <c r="AG917" s="11"/>
    </row>
    <row r="918" spans="1:33">
      <c r="B918" s="24" t="s">
        <v>938</v>
      </c>
      <c r="C918" s="14" t="s">
        <v>897</v>
      </c>
      <c r="D918" s="24" t="s">
        <v>135</v>
      </c>
      <c r="I918" s="24"/>
      <c r="AF918" s="28"/>
      <c r="AG918" s="11"/>
    </row>
    <row r="919" spans="1:33">
      <c r="A919" s="20" t="s">
        <v>896</v>
      </c>
      <c r="B919" s="11"/>
      <c r="C919" s="11"/>
      <c r="E919" s="14" t="s">
        <v>563</v>
      </c>
      <c r="F919" s="31">
        <f>$F$15</f>
        <v>0.7</v>
      </c>
      <c r="G919" s="19">
        <f>SUM(H919:AE919)/48</f>
        <v>75.673405926720477</v>
      </c>
      <c r="H919" s="2">
        <f>H917*(1-($F$16+$F$13)*$H$833)</f>
        <v>11.706999734728571</v>
      </c>
      <c r="I919" s="2">
        <f t="shared" ref="I919:AE919" si="311">I917*(1-($F$16+$F$13)*$H$833)</f>
        <v>42.939656623503659</v>
      </c>
      <c r="J919" s="2">
        <f t="shared" si="311"/>
        <v>73.749865681270791</v>
      </c>
      <c r="K919" s="2">
        <f t="shared" si="311"/>
        <v>103.39519921402088</v>
      </c>
      <c r="L919" s="2">
        <f t="shared" si="311"/>
        <v>131.17820304091427</v>
      </c>
      <c r="M919" s="2">
        <f t="shared" si="311"/>
        <v>156.67783222919203</v>
      </c>
      <c r="N919" s="2">
        <f t="shared" si="311"/>
        <v>179.35352692461291</v>
      </c>
      <c r="O919" s="2">
        <f t="shared" si="311"/>
        <v>198.86492924474584</v>
      </c>
      <c r="P919" s="2">
        <f t="shared" si="311"/>
        <v>214.98984436251553</v>
      </c>
      <c r="Q919" s="2">
        <f t="shared" si="311"/>
        <v>227.40241299416687</v>
      </c>
      <c r="R919" s="2">
        <f t="shared" si="311"/>
        <v>235.88730957888924</v>
      </c>
      <c r="S919" s="2">
        <f t="shared" si="311"/>
        <v>240.01596261273053</v>
      </c>
      <c r="T919" s="2">
        <f t="shared" si="311"/>
        <v>240.01596261273053</v>
      </c>
      <c r="U919" s="2">
        <f t="shared" si="311"/>
        <v>235.88730957888924</v>
      </c>
      <c r="V919" s="2">
        <f t="shared" si="311"/>
        <v>227.40241299416687</v>
      </c>
      <c r="W919" s="2">
        <f t="shared" si="311"/>
        <v>214.98984436251553</v>
      </c>
      <c r="X919" s="2">
        <f t="shared" si="311"/>
        <v>198.86492924474584</v>
      </c>
      <c r="Y919" s="2">
        <f t="shared" si="311"/>
        <v>179.35352692461291</v>
      </c>
      <c r="Z919" s="2">
        <f t="shared" si="311"/>
        <v>156.67783222919203</v>
      </c>
      <c r="AA919" s="2">
        <f t="shared" si="311"/>
        <v>131.17820304091427</v>
      </c>
      <c r="AB919" s="2">
        <f t="shared" si="311"/>
        <v>103.39519921402088</v>
      </c>
      <c r="AC919" s="2">
        <f t="shared" si="311"/>
        <v>73.749865681270791</v>
      </c>
      <c r="AD919" s="2">
        <f t="shared" si="311"/>
        <v>42.939656623503659</v>
      </c>
      <c r="AE919" s="2">
        <f t="shared" si="311"/>
        <v>11.706999734728571</v>
      </c>
      <c r="AF919" s="28"/>
      <c r="AG919" s="11"/>
    </row>
    <row r="920" spans="1:33">
      <c r="A920" s="3"/>
      <c r="B920" s="5" t="s">
        <v>136</v>
      </c>
      <c r="C920" s="11"/>
      <c r="D920" t="s">
        <v>110</v>
      </c>
      <c r="F920" s="27"/>
      <c r="G920" s="2"/>
      <c r="H920" s="2" t="s">
        <v>898</v>
      </c>
      <c r="I920" s="2"/>
      <c r="J920" s="2" t="s">
        <v>899</v>
      </c>
      <c r="K920" s="2"/>
      <c r="L920" t="s">
        <v>263</v>
      </c>
      <c r="M920" s="2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11"/>
    </row>
    <row r="921" spans="1:33">
      <c r="A921" t="s">
        <v>834</v>
      </c>
      <c r="B921" s="5"/>
      <c r="C921" s="11"/>
      <c r="D921" s="5" t="s">
        <v>122</v>
      </c>
      <c r="F921" t="s">
        <v>137</v>
      </c>
      <c r="G921" s="97">
        <f>SUM(H921:AE921)/48</f>
        <v>0.81324152243601622</v>
      </c>
      <c r="H921" s="97">
        <f>H917*$H$833*$F$16</f>
        <v>0.12581194371835386</v>
      </c>
      <c r="I921" s="97">
        <f t="shared" ref="I921:AE921" si="312">I917*$H$833*$F$16</f>
        <v>0.46146081701666125</v>
      </c>
      <c r="J921" s="97">
        <f t="shared" si="312"/>
        <v>0.79256975831334342</v>
      </c>
      <c r="K921" s="97">
        <f t="shared" si="312"/>
        <v>1.1111600990024266</v>
      </c>
      <c r="L921" s="97">
        <f t="shared" si="312"/>
        <v>1.4097364885983696</v>
      </c>
      <c r="M921" s="97">
        <f t="shared" si="312"/>
        <v>1.6837740716656662</v>
      </c>
      <c r="N921" s="97">
        <f t="shared" si="312"/>
        <v>1.9274635983965736</v>
      </c>
      <c r="O921" s="97">
        <f t="shared" si="312"/>
        <v>2.1371473351514916</v>
      </c>
      <c r="P921" s="97">
        <f t="shared" si="312"/>
        <v>2.3104374145252837</v>
      </c>
      <c r="Q921" s="97">
        <f t="shared" si="312"/>
        <v>2.4438319153770198</v>
      </c>
      <c r="R921" s="97">
        <f t="shared" si="312"/>
        <v>2.5350167924387677</v>
      </c>
      <c r="S921" s="97">
        <f t="shared" si="312"/>
        <v>2.5793863042604315</v>
      </c>
      <c r="T921" s="97">
        <f t="shared" si="312"/>
        <v>2.5793863042604315</v>
      </c>
      <c r="U921" s="97">
        <f t="shared" si="312"/>
        <v>2.5350167924387677</v>
      </c>
      <c r="V921" s="97">
        <f t="shared" si="312"/>
        <v>2.4438319153770198</v>
      </c>
      <c r="W921" s="97">
        <f t="shared" si="312"/>
        <v>2.3104374145252837</v>
      </c>
      <c r="X921" s="97">
        <f t="shared" si="312"/>
        <v>2.1371473351514916</v>
      </c>
      <c r="Y921" s="97">
        <f t="shared" si="312"/>
        <v>1.9274635983965736</v>
      </c>
      <c r="Z921" s="97">
        <f t="shared" si="312"/>
        <v>1.6837740716656662</v>
      </c>
      <c r="AA921" s="97">
        <f t="shared" si="312"/>
        <v>1.4097364885983696</v>
      </c>
      <c r="AB921" s="97">
        <f t="shared" si="312"/>
        <v>1.1111600990024266</v>
      </c>
      <c r="AC921" s="97">
        <f t="shared" si="312"/>
        <v>0.79256975831334342</v>
      </c>
      <c r="AD921" s="97">
        <f t="shared" si="312"/>
        <v>0.46146081701666125</v>
      </c>
      <c r="AE921" s="97">
        <f t="shared" si="312"/>
        <v>0.12581194371835386</v>
      </c>
      <c r="AF921" s="28"/>
      <c r="AG921" s="11"/>
    </row>
    <row r="922" spans="1:33">
      <c r="A922" t="s">
        <v>930</v>
      </c>
      <c r="B922" s="5"/>
      <c r="C922" s="11"/>
      <c r="D922" s="5" t="s">
        <v>138</v>
      </c>
      <c r="G922" s="97">
        <f>SUM(H922:AE922)/48</f>
        <v>0.56926906570521141</v>
      </c>
      <c r="H922" s="97">
        <f>H921*$F$15</f>
        <v>8.8068360602847701E-2</v>
      </c>
      <c r="I922" s="97">
        <f t="shared" ref="I922:AE922" si="313">I921*$F$15</f>
        <v>0.32302257191166284</v>
      </c>
      <c r="J922" s="97">
        <f t="shared" si="313"/>
        <v>0.55479883081934034</v>
      </c>
      <c r="K922" s="97">
        <f t="shared" si="313"/>
        <v>0.77781206930169855</v>
      </c>
      <c r="L922" s="97">
        <f t="shared" si="313"/>
        <v>0.98681554201885868</v>
      </c>
      <c r="M922" s="97">
        <f t="shared" si="313"/>
        <v>1.1786418501659663</v>
      </c>
      <c r="N922" s="97">
        <f t="shared" si="313"/>
        <v>1.3492245188776013</v>
      </c>
      <c r="O922" s="97">
        <f t="shared" si="313"/>
        <v>1.4960031346060441</v>
      </c>
      <c r="P922" s="97">
        <f t="shared" si="313"/>
        <v>1.6173061901676986</v>
      </c>
      <c r="Q922" s="97">
        <f t="shared" si="313"/>
        <v>1.7106823407639138</v>
      </c>
      <c r="R922" s="97">
        <f t="shared" si="313"/>
        <v>1.7745117547071372</v>
      </c>
      <c r="S922" s="97">
        <f t="shared" si="313"/>
        <v>1.8055704129823018</v>
      </c>
      <c r="T922" s="97">
        <f t="shared" si="313"/>
        <v>1.8055704129823018</v>
      </c>
      <c r="U922" s="97">
        <f t="shared" si="313"/>
        <v>1.7745117547071372</v>
      </c>
      <c r="V922" s="97">
        <f t="shared" si="313"/>
        <v>1.7106823407639138</v>
      </c>
      <c r="W922" s="97">
        <f t="shared" si="313"/>
        <v>1.6173061901676986</v>
      </c>
      <c r="X922" s="97">
        <f t="shared" si="313"/>
        <v>1.4960031346060441</v>
      </c>
      <c r="Y922" s="97">
        <f t="shared" si="313"/>
        <v>1.3492245188776013</v>
      </c>
      <c r="Z922" s="97">
        <f t="shared" si="313"/>
        <v>1.1786418501659663</v>
      </c>
      <c r="AA922" s="97">
        <f t="shared" si="313"/>
        <v>0.98681554201885868</v>
      </c>
      <c r="AB922" s="97">
        <f t="shared" si="313"/>
        <v>0.77781206930169855</v>
      </c>
      <c r="AC922" s="97">
        <f t="shared" si="313"/>
        <v>0.55479883081934034</v>
      </c>
      <c r="AD922" s="97">
        <f t="shared" si="313"/>
        <v>0.32302257191166284</v>
      </c>
      <c r="AE922" s="97">
        <f t="shared" si="313"/>
        <v>8.8068360602847701E-2</v>
      </c>
      <c r="AF922" s="28"/>
      <c r="AG922" s="11"/>
    </row>
    <row r="923" spans="1:33">
      <c r="A923" s="20" t="s">
        <v>835</v>
      </c>
      <c r="B923" s="5"/>
      <c r="C923" s="11"/>
      <c r="G923" s="19">
        <f>SUM(H923:AE923)/48</f>
        <v>0.56309659079631669</v>
      </c>
      <c r="H923" s="24">
        <f>H922*(1-($F$16+$F$13)*$H$833)</f>
        <v>8.7113452319863532E-2</v>
      </c>
      <c r="I923" s="24">
        <f t="shared" ref="I923:AE923" si="314">I922*(1-($F$16+$F$13)*$H$833)</f>
        <v>0.31952010033846862</v>
      </c>
      <c r="J923" s="24">
        <f t="shared" si="314"/>
        <v>0.54878325388214244</v>
      </c>
      <c r="K923" s="24">
        <f t="shared" si="314"/>
        <v>0.76937840274429892</v>
      </c>
      <c r="L923" s="24">
        <f t="shared" si="314"/>
        <v>0.97611569103490792</v>
      </c>
      <c r="M923" s="24">
        <f t="shared" si="314"/>
        <v>1.1658620634447081</v>
      </c>
      <c r="N923" s="24">
        <f t="shared" si="314"/>
        <v>1.3345951371125468</v>
      </c>
      <c r="O923" s="24">
        <f t="shared" si="314"/>
        <v>1.4797822605619848</v>
      </c>
      <c r="P923" s="24">
        <f t="shared" si="314"/>
        <v>1.5997700504400929</v>
      </c>
      <c r="Q923" s="24">
        <f t="shared" si="314"/>
        <v>1.6921337414080473</v>
      </c>
      <c r="R923" s="24">
        <f t="shared" si="314"/>
        <v>1.7552710653015051</v>
      </c>
      <c r="S923" s="24">
        <f t="shared" si="314"/>
        <v>1.7859929605230336</v>
      </c>
      <c r="T923" s="24">
        <f t="shared" si="314"/>
        <v>1.7859929605230336</v>
      </c>
      <c r="U923" s="24">
        <f t="shared" si="314"/>
        <v>1.7552710653015051</v>
      </c>
      <c r="V923" s="24">
        <f t="shared" si="314"/>
        <v>1.6921337414080473</v>
      </c>
      <c r="W923" s="24">
        <f t="shared" si="314"/>
        <v>1.5997700504400929</v>
      </c>
      <c r="X923" s="24">
        <f t="shared" si="314"/>
        <v>1.4797822605619848</v>
      </c>
      <c r="Y923" s="24">
        <f t="shared" si="314"/>
        <v>1.3345951371125468</v>
      </c>
      <c r="Z923" s="24">
        <f t="shared" si="314"/>
        <v>1.1658620634447081</v>
      </c>
      <c r="AA923" s="24">
        <f t="shared" si="314"/>
        <v>0.97611569103490792</v>
      </c>
      <c r="AB923" s="24">
        <f t="shared" si="314"/>
        <v>0.76937840274429892</v>
      </c>
      <c r="AC923" s="24">
        <f t="shared" si="314"/>
        <v>0.54878325388214244</v>
      </c>
      <c r="AD923" s="24">
        <f t="shared" si="314"/>
        <v>0.31952010033846862</v>
      </c>
      <c r="AE923" s="24">
        <f t="shared" si="314"/>
        <v>8.7113452319863532E-2</v>
      </c>
      <c r="AF923" s="28"/>
      <c r="AG923" s="11"/>
    </row>
    <row r="924" spans="1:33">
      <c r="A924" s="20"/>
      <c r="B924" s="24" t="s">
        <v>139</v>
      </c>
      <c r="C924" s="11"/>
      <c r="D924" t="s">
        <v>110</v>
      </c>
      <c r="G924" s="27"/>
      <c r="H924" s="24" t="s">
        <v>900</v>
      </c>
      <c r="K924" t="s">
        <v>853</v>
      </c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8"/>
      <c r="AG924" s="11"/>
    </row>
    <row r="925" spans="1:33">
      <c r="A925" s="100" t="s">
        <v>836</v>
      </c>
      <c r="B925" s="5"/>
      <c r="C925" s="11"/>
      <c r="G925" s="19">
        <f>SUM(H925:AE925)/48</f>
        <v>4.1900819275067615E-3</v>
      </c>
      <c r="H925" s="2">
        <f>H923^2/H919</f>
        <v>6.4822360528233865E-4</v>
      </c>
      <c r="I925" s="2">
        <f t="shared" ref="I925:AE925" si="315">I923^2/I919</f>
        <v>2.3775945722030504E-3</v>
      </c>
      <c r="J925" s="2">
        <f t="shared" si="315"/>
        <v>4.0835743490439218E-3</v>
      </c>
      <c r="K925" s="2">
        <f t="shared" si="315"/>
        <v>5.7250542685650958E-3</v>
      </c>
      <c r="L925" s="2">
        <f t="shared" si="315"/>
        <v>7.2634158739571884E-3</v>
      </c>
      <c r="M925" s="2">
        <f t="shared" si="315"/>
        <v>8.6753456544588423E-3</v>
      </c>
      <c r="N925" s="2">
        <f t="shared" si="315"/>
        <v>9.9309124863383377E-3</v>
      </c>
      <c r="O925" s="2">
        <f t="shared" si="315"/>
        <v>1.1011270549262988E-2</v>
      </c>
      <c r="P925" s="2">
        <f t="shared" si="315"/>
        <v>1.1904116782231211E-2</v>
      </c>
      <c r="Q925" s="2">
        <f t="shared" si="315"/>
        <v>1.259140816102529E-2</v>
      </c>
      <c r="R925" s="2">
        <f t="shared" si="315"/>
        <v>1.3061221980041664E-2</v>
      </c>
      <c r="S925" s="2">
        <f t="shared" si="315"/>
        <v>1.3289827977752357E-2</v>
      </c>
      <c r="T925" s="2">
        <f t="shared" si="315"/>
        <v>1.3289827977752357E-2</v>
      </c>
      <c r="U925" s="2">
        <f t="shared" si="315"/>
        <v>1.3061221980041664E-2</v>
      </c>
      <c r="V925" s="2">
        <f t="shared" si="315"/>
        <v>1.259140816102529E-2</v>
      </c>
      <c r="W925" s="2">
        <f t="shared" si="315"/>
        <v>1.1904116782231211E-2</v>
      </c>
      <c r="X925" s="2">
        <f t="shared" si="315"/>
        <v>1.1011270549262988E-2</v>
      </c>
      <c r="Y925" s="2">
        <f t="shared" si="315"/>
        <v>9.9309124863383377E-3</v>
      </c>
      <c r="Z925" s="2">
        <f t="shared" si="315"/>
        <v>8.6753456544588423E-3</v>
      </c>
      <c r="AA925" s="2">
        <f t="shared" si="315"/>
        <v>7.2634158739571884E-3</v>
      </c>
      <c r="AB925" s="2">
        <f t="shared" si="315"/>
        <v>5.7250542685650958E-3</v>
      </c>
      <c r="AC925" s="2">
        <f t="shared" si="315"/>
        <v>4.0835743490439218E-3</v>
      </c>
      <c r="AD925" s="2">
        <f t="shared" si="315"/>
        <v>2.3775945722030504E-3</v>
      </c>
      <c r="AE925" s="2">
        <f t="shared" si="315"/>
        <v>6.4822360528233865E-4</v>
      </c>
      <c r="AF925" s="28"/>
      <c r="AG925" s="11"/>
    </row>
    <row r="926" spans="1:33">
      <c r="A926" s="100"/>
      <c r="B926" s="24" t="s">
        <v>140</v>
      </c>
      <c r="C926" s="11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8"/>
      <c r="AG926" s="11"/>
    </row>
    <row r="927" spans="1:33">
      <c r="A927" s="20" t="s">
        <v>901</v>
      </c>
      <c r="B927" s="11"/>
      <c r="C927" s="11"/>
      <c r="D927" s="24"/>
      <c r="E927" s="27"/>
      <c r="F927" s="6"/>
      <c r="G927" s="19">
        <f>SUM(H927:AE927)/24</f>
        <v>287.79363793079938</v>
      </c>
      <c r="H927" s="2">
        <f t="shared" ref="H927:AE927" si="316">$M$9*($F$7+273)^4*(1-$H$833)</f>
        <v>287.79363793079938</v>
      </c>
      <c r="I927" s="2">
        <f t="shared" si="316"/>
        <v>287.79363793079938</v>
      </c>
      <c r="J927" s="2">
        <f t="shared" si="316"/>
        <v>287.79363793079938</v>
      </c>
      <c r="K927" s="2">
        <f t="shared" si="316"/>
        <v>287.79363793079938</v>
      </c>
      <c r="L927" s="2">
        <f t="shared" si="316"/>
        <v>287.79363793079938</v>
      </c>
      <c r="M927" s="2">
        <f t="shared" si="316"/>
        <v>287.79363793079938</v>
      </c>
      <c r="N927" s="2">
        <f t="shared" si="316"/>
        <v>287.79363793079938</v>
      </c>
      <c r="O927" s="2">
        <f t="shared" si="316"/>
        <v>287.79363793079938</v>
      </c>
      <c r="P927" s="2">
        <f t="shared" si="316"/>
        <v>287.79363793079938</v>
      </c>
      <c r="Q927" s="2">
        <f t="shared" si="316"/>
        <v>287.79363793079938</v>
      </c>
      <c r="R927" s="2">
        <f t="shared" si="316"/>
        <v>287.79363793079938</v>
      </c>
      <c r="S927" s="2">
        <f t="shared" si="316"/>
        <v>287.79363793079938</v>
      </c>
      <c r="T927" s="2">
        <f t="shared" si="316"/>
        <v>287.79363793079938</v>
      </c>
      <c r="U927" s="2">
        <f t="shared" si="316"/>
        <v>287.79363793079938</v>
      </c>
      <c r="V927" s="2">
        <f t="shared" si="316"/>
        <v>287.79363793079938</v>
      </c>
      <c r="W927" s="2">
        <f t="shared" si="316"/>
        <v>287.79363793079938</v>
      </c>
      <c r="X927" s="2">
        <f t="shared" si="316"/>
        <v>287.79363793079938</v>
      </c>
      <c r="Y927" s="2">
        <f t="shared" si="316"/>
        <v>287.79363793079938</v>
      </c>
      <c r="Z927" s="2">
        <f t="shared" si="316"/>
        <v>287.79363793079938</v>
      </c>
      <c r="AA927" s="2">
        <f t="shared" si="316"/>
        <v>287.79363793079938</v>
      </c>
      <c r="AB927" s="2">
        <f t="shared" si="316"/>
        <v>287.79363793079938</v>
      </c>
      <c r="AC927" s="2">
        <f t="shared" si="316"/>
        <v>287.79363793079938</v>
      </c>
      <c r="AD927" s="2">
        <f t="shared" si="316"/>
        <v>287.79363793079938</v>
      </c>
      <c r="AE927" s="2">
        <f t="shared" si="316"/>
        <v>287.79363793079938</v>
      </c>
      <c r="AF927" s="28"/>
      <c r="AG927" s="11"/>
    </row>
    <row r="928" spans="1:33">
      <c r="A928" s="14"/>
      <c r="B928" s="5" t="s">
        <v>120</v>
      </c>
      <c r="D928" t="s">
        <v>1056</v>
      </c>
      <c r="E928" s="12"/>
      <c r="F928" s="6"/>
      <c r="G928" s="2"/>
      <c r="H928" s="2" t="s">
        <v>121</v>
      </c>
      <c r="J928" s="10"/>
      <c r="K928" s="9"/>
      <c r="AF928" s="2"/>
    </row>
    <row r="929" spans="1:33">
      <c r="A929" s="20" t="s">
        <v>914</v>
      </c>
      <c r="B929" s="11"/>
      <c r="C929" s="11"/>
      <c r="D929" s="11"/>
      <c r="E929" s="27"/>
      <c r="F929" s="6"/>
      <c r="G929" s="19">
        <f>SUM(H929:AE929)/24</f>
        <v>2.5618512323568008</v>
      </c>
      <c r="H929" s="24">
        <f t="shared" ref="H929:AE929" si="317">$M$9*($F$9+273)^4*$F$10*$F$18</f>
        <v>2.5618512323567995</v>
      </c>
      <c r="I929" s="24">
        <f t="shared" si="317"/>
        <v>2.5618512323567995</v>
      </c>
      <c r="J929" s="24">
        <f t="shared" si="317"/>
        <v>2.5618512323567995</v>
      </c>
      <c r="K929" s="24">
        <f t="shared" si="317"/>
        <v>2.5618512323567995</v>
      </c>
      <c r="L929" s="24">
        <f t="shared" si="317"/>
        <v>2.5618512323567995</v>
      </c>
      <c r="M929" s="24">
        <f t="shared" si="317"/>
        <v>2.5618512323567995</v>
      </c>
      <c r="N929" s="24">
        <f t="shared" si="317"/>
        <v>2.5618512323567995</v>
      </c>
      <c r="O929" s="24">
        <f t="shared" si="317"/>
        <v>2.5618512323567995</v>
      </c>
      <c r="P929" s="24">
        <f t="shared" si="317"/>
        <v>2.5618512323567995</v>
      </c>
      <c r="Q929" s="24">
        <f t="shared" si="317"/>
        <v>2.5618512323567995</v>
      </c>
      <c r="R929" s="24">
        <f t="shared" si="317"/>
        <v>2.5618512323567995</v>
      </c>
      <c r="S929" s="24">
        <f t="shared" si="317"/>
        <v>2.5618512323567995</v>
      </c>
      <c r="T929" s="24">
        <f t="shared" si="317"/>
        <v>2.5618512323567995</v>
      </c>
      <c r="U929" s="24">
        <f t="shared" si="317"/>
        <v>2.5618512323567995</v>
      </c>
      <c r="V929" s="24">
        <f t="shared" si="317"/>
        <v>2.5618512323567995</v>
      </c>
      <c r="W929" s="24">
        <f t="shared" si="317"/>
        <v>2.5618512323567995</v>
      </c>
      <c r="X929" s="24">
        <f t="shared" si="317"/>
        <v>2.5618512323567995</v>
      </c>
      <c r="Y929" s="24">
        <f t="shared" si="317"/>
        <v>2.5618512323567995</v>
      </c>
      <c r="Z929" s="24">
        <f t="shared" si="317"/>
        <v>2.5618512323567995</v>
      </c>
      <c r="AA929" s="24">
        <f t="shared" si="317"/>
        <v>2.5618512323567995</v>
      </c>
      <c r="AB929" s="24">
        <f t="shared" si="317"/>
        <v>2.5618512323567995</v>
      </c>
      <c r="AC929" s="24">
        <f t="shared" si="317"/>
        <v>2.5618512323567995</v>
      </c>
      <c r="AD929" s="24">
        <f t="shared" si="317"/>
        <v>2.5618512323567995</v>
      </c>
      <c r="AE929" s="24">
        <f t="shared" si="317"/>
        <v>2.5618512323567995</v>
      </c>
      <c r="AF929" s="28"/>
      <c r="AG929" s="11"/>
    </row>
    <row r="930" spans="1:33">
      <c r="A930" s="20"/>
      <c r="B930" s="5" t="s">
        <v>923</v>
      </c>
      <c r="C930" s="11"/>
      <c r="D930" t="s">
        <v>743</v>
      </c>
      <c r="E930" s="27"/>
      <c r="F930" s="6"/>
      <c r="G930" s="28"/>
      <c r="H930" t="s">
        <v>717</v>
      </c>
      <c r="I930" s="29"/>
      <c r="J930" s="11"/>
      <c r="K930" s="2" t="s">
        <v>719</v>
      </c>
      <c r="L930" s="11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11"/>
    </row>
    <row r="931" spans="1:33">
      <c r="A931" s="20"/>
      <c r="B931" s="27" t="s">
        <v>925</v>
      </c>
      <c r="C931" s="11" t="s">
        <v>924</v>
      </c>
      <c r="E931" s="27"/>
      <c r="F931" s="6"/>
      <c r="G931" s="28"/>
      <c r="I931" s="29"/>
      <c r="J931" s="11"/>
      <c r="K931" s="2"/>
      <c r="L931" s="11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11"/>
    </row>
    <row r="932" spans="1:33">
      <c r="A932" s="20"/>
      <c r="B932" s="14"/>
      <c r="C932" t="s">
        <v>926</v>
      </c>
      <c r="E932" s="27"/>
      <c r="F932" s="6"/>
      <c r="G932" s="28"/>
      <c r="I932" s="29"/>
      <c r="J932" s="11"/>
      <c r="K932" s="2"/>
      <c r="L932" s="11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11"/>
    </row>
    <row r="933" spans="1:33">
      <c r="A933" s="20"/>
      <c r="B933" s="16" t="s">
        <v>742</v>
      </c>
      <c r="C933" s="11"/>
      <c r="D933" s="11"/>
      <c r="E933" s="21"/>
      <c r="F933" s="21"/>
      <c r="G933" s="82">
        <f>G913+G919+G923+G925+G927+G929</f>
        <v>369.8967229683708</v>
      </c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8"/>
      <c r="AG933" s="11"/>
    </row>
    <row r="934" spans="1:33">
      <c r="A934" s="20"/>
      <c r="B934" s="16" t="s">
        <v>730</v>
      </c>
      <c r="C934" s="11"/>
      <c r="D934" s="11"/>
      <c r="E934" s="21"/>
      <c r="F934" s="21"/>
      <c r="G934" s="82">
        <f>G910-G933</f>
        <v>3.0079333641545531</v>
      </c>
      <c r="H934" s="24"/>
      <c r="I934" s="32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8"/>
      <c r="AG934" s="11"/>
    </row>
    <row r="935" spans="1:33">
      <c r="A935" s="3"/>
      <c r="B935" s="16"/>
      <c r="C935" s="11"/>
      <c r="D935" s="11"/>
      <c r="E935" s="27"/>
      <c r="F935" s="6"/>
      <c r="G935" s="32"/>
      <c r="I935" s="29"/>
      <c r="J935" s="28"/>
      <c r="K935" s="11"/>
      <c r="L935" s="11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11"/>
    </row>
    <row r="936" spans="1:33"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3" ht="18.75">
      <c r="A937" s="85" t="s">
        <v>513</v>
      </c>
      <c r="B937" s="30" t="s">
        <v>609</v>
      </c>
      <c r="H937" s="4" t="s">
        <v>484</v>
      </c>
      <c r="I937" s="4" t="s">
        <v>486</v>
      </c>
      <c r="J937" s="4" t="s">
        <v>485</v>
      </c>
      <c r="K937" s="4" t="s">
        <v>487</v>
      </c>
      <c r="L937" s="4" t="s">
        <v>488</v>
      </c>
      <c r="M937" s="4" t="s">
        <v>489</v>
      </c>
      <c r="N937" s="4" t="s">
        <v>490</v>
      </c>
      <c r="O937" s="4" t="s">
        <v>491</v>
      </c>
      <c r="P937" s="4" t="s">
        <v>494</v>
      </c>
      <c r="Q937" s="4" t="s">
        <v>492</v>
      </c>
      <c r="R937" s="4" t="s">
        <v>495</v>
      </c>
      <c r="S937" s="4" t="s">
        <v>493</v>
      </c>
      <c r="T937" s="4" t="s">
        <v>515</v>
      </c>
      <c r="U937" s="4" t="s">
        <v>517</v>
      </c>
      <c r="V937" s="4" t="s">
        <v>518</v>
      </c>
      <c r="W937" s="4" t="s">
        <v>516</v>
      </c>
      <c r="X937" s="4" t="s">
        <v>519</v>
      </c>
      <c r="Y937" s="4" t="s">
        <v>520</v>
      </c>
      <c r="Z937" s="4" t="s">
        <v>521</v>
      </c>
      <c r="AA937" s="4" t="s">
        <v>522</v>
      </c>
      <c r="AB937" s="4" t="s">
        <v>523</v>
      </c>
      <c r="AC937" s="4" t="s">
        <v>524</v>
      </c>
      <c r="AD937" s="4" t="s">
        <v>525</v>
      </c>
      <c r="AE937" s="4" t="s">
        <v>526</v>
      </c>
      <c r="AF937" s="2"/>
    </row>
    <row r="938" spans="1:33">
      <c r="A938" s="3" t="s">
        <v>722</v>
      </c>
      <c r="G938" t="s">
        <v>535</v>
      </c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2"/>
    </row>
    <row r="939" spans="1:33">
      <c r="A939" t="s">
        <v>561</v>
      </c>
      <c r="B939" s="11"/>
      <c r="C939" s="11"/>
      <c r="D939" s="5" t="s">
        <v>141</v>
      </c>
      <c r="E939" s="12"/>
      <c r="F939" s="6"/>
      <c r="G939" s="2">
        <f>SUM(H939:AE939)/48</f>
        <v>75.494746664323955</v>
      </c>
      <c r="H939" s="2">
        <f>H$70</f>
        <v>14.314928886907998</v>
      </c>
      <c r="I939" s="2">
        <f t="shared" ref="I939:AE939" si="318">I$70</f>
        <v>45.323128857115414</v>
      </c>
      <c r="J939" s="2">
        <f t="shared" si="318"/>
        <v>75.593343409821259</v>
      </c>
      <c r="K939" s="2">
        <f t="shared" si="318"/>
        <v>104.39913839929589</v>
      </c>
      <c r="L939" s="2">
        <f t="shared" si="318"/>
        <v>131.49611191081414</v>
      </c>
      <c r="M939" s="2">
        <f t="shared" si="318"/>
        <v>156.17102515167278</v>
      </c>
      <c r="N939" s="2">
        <f t="shared" si="318"/>
        <v>178.4293047648105</v>
      </c>
      <c r="O939" s="2">
        <f t="shared" si="318"/>
        <v>197.33492676833038</v>
      </c>
      <c r="P939" s="2">
        <f t="shared" si="318"/>
        <v>213.13893709002286</v>
      </c>
      <c r="Q939" s="2">
        <f t="shared" si="318"/>
        <v>225.14943459894513</v>
      </c>
      <c r="R939" s="2">
        <f t="shared" si="318"/>
        <v>233.14658123534468</v>
      </c>
      <c r="S939" s="2">
        <f t="shared" si="318"/>
        <v>237.37705887069376</v>
      </c>
      <c r="T939" s="2">
        <f t="shared" si="318"/>
        <v>237.37705887069376</v>
      </c>
      <c r="U939" s="2">
        <f t="shared" si="318"/>
        <v>233.14658123534468</v>
      </c>
      <c r="V939" s="2">
        <f t="shared" si="318"/>
        <v>225.14943459894513</v>
      </c>
      <c r="W939" s="2">
        <f t="shared" si="318"/>
        <v>213.13893709002286</v>
      </c>
      <c r="X939" s="2">
        <f t="shared" si="318"/>
        <v>197.33492676833038</v>
      </c>
      <c r="Y939" s="2">
        <f t="shared" si="318"/>
        <v>178.4293047648105</v>
      </c>
      <c r="Z939" s="2">
        <f t="shared" si="318"/>
        <v>156.17102515167278</v>
      </c>
      <c r="AA939" s="2">
        <f t="shared" si="318"/>
        <v>131.49611191081414</v>
      </c>
      <c r="AB939" s="2">
        <f t="shared" si="318"/>
        <v>104.39913839929589</v>
      </c>
      <c r="AC939" s="2">
        <f t="shared" si="318"/>
        <v>75.593343409821259</v>
      </c>
      <c r="AD939" s="2">
        <f t="shared" si="318"/>
        <v>45.323128857115414</v>
      </c>
      <c r="AE939" s="2">
        <f t="shared" si="318"/>
        <v>14.314928886907998</v>
      </c>
      <c r="AF939" s="2"/>
    </row>
    <row r="940" spans="1:33">
      <c r="A940" s="20" t="s">
        <v>824</v>
      </c>
      <c r="B940" s="11"/>
      <c r="C940" s="11"/>
      <c r="D940" t="s">
        <v>143</v>
      </c>
      <c r="E940" s="12"/>
      <c r="F940" s="18"/>
      <c r="G940" s="19">
        <f>SUM(H940:AE940)/48</f>
        <v>52.846322665026754</v>
      </c>
      <c r="H940" s="2">
        <f>H$70*$V$20</f>
        <v>10.020450220835597</v>
      </c>
      <c r="I940" s="2">
        <f t="shared" ref="I940:AE940" si="319">I$70*$V$20</f>
        <v>31.726190199980788</v>
      </c>
      <c r="J940" s="2">
        <f t="shared" si="319"/>
        <v>52.915340386874881</v>
      </c>
      <c r="K940" s="2">
        <f t="shared" si="319"/>
        <v>73.079396879507115</v>
      </c>
      <c r="L940" s="2">
        <f t="shared" si="319"/>
        <v>92.047278337569892</v>
      </c>
      <c r="M940" s="2">
        <f t="shared" si="319"/>
        <v>109.31971760617094</v>
      </c>
      <c r="N940" s="2">
        <f t="shared" si="319"/>
        <v>124.90051333536734</v>
      </c>
      <c r="O940" s="2">
        <f t="shared" si="319"/>
        <v>138.13444873783126</v>
      </c>
      <c r="P940" s="2">
        <f t="shared" si="319"/>
        <v>149.197255963016</v>
      </c>
      <c r="Q940" s="2">
        <f t="shared" si="319"/>
        <v>157.60460421926157</v>
      </c>
      <c r="R940" s="2">
        <f t="shared" si="319"/>
        <v>163.20260686474126</v>
      </c>
      <c r="S940" s="2">
        <f t="shared" si="319"/>
        <v>166.16394120948561</v>
      </c>
      <c r="T940" s="2">
        <f t="shared" si="319"/>
        <v>166.16394120948561</v>
      </c>
      <c r="U940" s="2">
        <f t="shared" si="319"/>
        <v>163.20260686474126</v>
      </c>
      <c r="V940" s="2">
        <f t="shared" si="319"/>
        <v>157.60460421926157</v>
      </c>
      <c r="W940" s="2">
        <f t="shared" si="319"/>
        <v>149.197255963016</v>
      </c>
      <c r="X940" s="2">
        <f t="shared" si="319"/>
        <v>138.13444873783126</v>
      </c>
      <c r="Y940" s="2">
        <f t="shared" si="319"/>
        <v>124.90051333536734</v>
      </c>
      <c r="Z940" s="2">
        <f t="shared" si="319"/>
        <v>109.31971760617094</v>
      </c>
      <c r="AA940" s="2">
        <f t="shared" si="319"/>
        <v>92.047278337569892</v>
      </c>
      <c r="AB940" s="2">
        <f t="shared" si="319"/>
        <v>73.079396879507115</v>
      </c>
      <c r="AC940" s="2">
        <f t="shared" si="319"/>
        <v>52.915340386874881</v>
      </c>
      <c r="AD940" s="2">
        <f t="shared" si="319"/>
        <v>31.726190199980788</v>
      </c>
      <c r="AE940" s="2">
        <f t="shared" si="319"/>
        <v>10.020450220835597</v>
      </c>
      <c r="AF940" s="2"/>
    </row>
    <row r="941" spans="1:33">
      <c r="A941" s="20"/>
      <c r="B941" s="5" t="s">
        <v>145</v>
      </c>
      <c r="C941" s="11"/>
      <c r="D941" t="s">
        <v>144</v>
      </c>
      <c r="E941" s="12"/>
      <c r="F941" s="18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3">
      <c r="A942" s="20" t="s">
        <v>825</v>
      </c>
      <c r="D942" t="s">
        <v>142</v>
      </c>
      <c r="G942" s="19">
        <f>SUM(H942:AE942)/24</f>
        <v>294.0451576320001</v>
      </c>
      <c r="H942" s="2">
        <f>$V$24</f>
        <v>294.04515763199998</v>
      </c>
      <c r="I942" s="2">
        <f t="shared" ref="I942:AE942" si="320">$V$24</f>
        <v>294.04515763199998</v>
      </c>
      <c r="J942" s="2">
        <f t="shared" si="320"/>
        <v>294.04515763199998</v>
      </c>
      <c r="K942" s="2">
        <f t="shared" si="320"/>
        <v>294.04515763199998</v>
      </c>
      <c r="L942" s="2">
        <f t="shared" si="320"/>
        <v>294.04515763199998</v>
      </c>
      <c r="M942" s="2">
        <f t="shared" si="320"/>
        <v>294.04515763199998</v>
      </c>
      <c r="N942" s="2">
        <f t="shared" si="320"/>
        <v>294.04515763199998</v>
      </c>
      <c r="O942" s="2">
        <f t="shared" si="320"/>
        <v>294.04515763199998</v>
      </c>
      <c r="P942" s="2">
        <f t="shared" si="320"/>
        <v>294.04515763199998</v>
      </c>
      <c r="Q942" s="2">
        <f t="shared" si="320"/>
        <v>294.04515763199998</v>
      </c>
      <c r="R942" s="2">
        <f t="shared" si="320"/>
        <v>294.04515763199998</v>
      </c>
      <c r="S942" s="2">
        <f t="shared" si="320"/>
        <v>294.04515763199998</v>
      </c>
      <c r="T942" s="2">
        <f t="shared" si="320"/>
        <v>294.04515763199998</v>
      </c>
      <c r="U942" s="2">
        <f t="shared" si="320"/>
        <v>294.04515763199998</v>
      </c>
      <c r="V942" s="2">
        <f t="shared" si="320"/>
        <v>294.04515763199998</v>
      </c>
      <c r="W942" s="2">
        <f t="shared" si="320"/>
        <v>294.04515763199998</v>
      </c>
      <c r="X942" s="2">
        <f t="shared" si="320"/>
        <v>294.04515763199998</v>
      </c>
      <c r="Y942" s="2">
        <f t="shared" si="320"/>
        <v>294.04515763199998</v>
      </c>
      <c r="Z942" s="2">
        <f t="shared" si="320"/>
        <v>294.04515763199998</v>
      </c>
      <c r="AA942" s="2">
        <f t="shared" si="320"/>
        <v>294.04515763199998</v>
      </c>
      <c r="AB942" s="2">
        <f t="shared" si="320"/>
        <v>294.04515763199998</v>
      </c>
      <c r="AC942" s="2">
        <f t="shared" si="320"/>
        <v>294.04515763199998</v>
      </c>
      <c r="AD942" s="2">
        <f t="shared" si="320"/>
        <v>294.04515763199998</v>
      </c>
      <c r="AE942" s="2">
        <f t="shared" si="320"/>
        <v>294.04515763199998</v>
      </c>
      <c r="AF942" s="2"/>
    </row>
    <row r="943" spans="1:33">
      <c r="A943" s="20"/>
      <c r="B943" s="16" t="s">
        <v>720</v>
      </c>
      <c r="G943" s="32">
        <f>G940+G942</f>
        <v>346.89148029702687</v>
      </c>
      <c r="H943" s="3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3">
      <c r="A944" s="39" t="s">
        <v>513</v>
      </c>
      <c r="B944" s="16"/>
      <c r="F944" s="12"/>
      <c r="G944" s="32"/>
      <c r="H944" s="3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3">
      <c r="A945" s="3" t="s">
        <v>723</v>
      </c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3" s="27" customFormat="1">
      <c r="A946" s="27" t="s">
        <v>1031</v>
      </c>
      <c r="G946" s="55"/>
      <c r="H946" s="101">
        <f ca="1">Tabelle3!D$46</f>
        <v>0.63859262374402315</v>
      </c>
      <c r="I946" s="101">
        <f ca="1">Tabelle3!E$46</f>
        <v>0.26405110428638667</v>
      </c>
      <c r="J946" s="101">
        <f ca="1">Tabelle3!F$46</f>
        <v>0.16935914188892226</v>
      </c>
      <c r="K946" s="101">
        <f ca="1">Tabelle3!G$46</f>
        <v>0.12626352446909428</v>
      </c>
      <c r="L946" s="101">
        <f ca="1">Tabelle3!H$46</f>
        <v>0.10049430617010105</v>
      </c>
      <c r="M946" s="101">
        <f ca="1">Tabelle3!I$46</f>
        <v>8.5934932301461278E-2</v>
      </c>
      <c r="N946" s="101">
        <f ca="1">Tabelle3!J$46</f>
        <v>7.4891900327014371E-2</v>
      </c>
      <c r="O946" s="101">
        <f ca="1">Tabelle3!K$46</f>
        <v>6.8983387214350586E-2</v>
      </c>
      <c r="P946" s="101">
        <f ca="1">Tabelle3!L$46</f>
        <v>6.403500748249466E-2</v>
      </c>
      <c r="Q946" s="101">
        <f ca="1">Tabelle3!M$46</f>
        <v>6.0268330373171509E-2</v>
      </c>
      <c r="R946" s="101">
        <f ca="1">Tabelle3!N$46</f>
        <v>5.7757212300289414E-2</v>
      </c>
      <c r="S946" s="101">
        <f ca="1">Tabelle3!O$46</f>
        <v>5.6427796849940058E-2</v>
      </c>
      <c r="T946" s="101">
        <f ca="1">Tabelle3!P$46</f>
        <v>5.6427796849940058E-2</v>
      </c>
      <c r="U946" s="101">
        <f ca="1">Tabelle3!Q$46</f>
        <v>5.7757212300289414E-2</v>
      </c>
      <c r="V946" s="101">
        <f ca="1">Tabelle3!R$46</f>
        <v>6.0268330373171509E-2</v>
      </c>
      <c r="W946" s="101">
        <f ca="1">Tabelle3!S$46</f>
        <v>6.403500748249466E-2</v>
      </c>
      <c r="X946" s="101">
        <f ca="1">Tabelle3!T$46</f>
        <v>6.8983387214350586E-2</v>
      </c>
      <c r="Y946" s="101">
        <f ca="1">Tabelle3!U$46</f>
        <v>7.4891900327014371E-2</v>
      </c>
      <c r="Z946" s="101">
        <f ca="1">Tabelle3!V$46</f>
        <v>8.5934932301461278E-2</v>
      </c>
      <c r="AA946" s="101">
        <f ca="1">Tabelle3!W$46</f>
        <v>0.10049430617010105</v>
      </c>
      <c r="AB946" s="101">
        <f ca="1">Tabelle3!X$46</f>
        <v>0.12626352446909428</v>
      </c>
      <c r="AC946" s="101">
        <f ca="1">Tabelle3!Y$46</f>
        <v>0.16935914188892226</v>
      </c>
      <c r="AD946" s="101">
        <f ca="1">Tabelle3!Z$46</f>
        <v>0.26405110428638667</v>
      </c>
      <c r="AE946" s="101">
        <f ca="1">Tabelle3!AA$46</f>
        <v>0.63859262374402315</v>
      </c>
      <c r="AF946" s="55"/>
    </row>
    <row r="947" spans="1:33" s="27" customFormat="1">
      <c r="A947" s="27" t="s">
        <v>830</v>
      </c>
      <c r="F947" s="10">
        <f ca="1">Tabelle3!J$80</f>
        <v>2.1260406910099214</v>
      </c>
      <c r="H947" s="107">
        <f ca="1">$F$10*$F$142</f>
        <v>2.1260406910099214E-2</v>
      </c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55"/>
    </row>
    <row r="948" spans="1:33" ht="15" customHeight="1">
      <c r="A948" s="3" t="s">
        <v>831</v>
      </c>
      <c r="B948" s="11"/>
      <c r="C948" s="11"/>
      <c r="D948" s="11"/>
      <c r="E948" s="27"/>
      <c r="F948" s="6"/>
      <c r="G948" s="19">
        <f>SUM(H948:AE948)/48</f>
        <v>3.2246343858148276</v>
      </c>
      <c r="H948" s="24">
        <f>H$70*H$946*$F$16</f>
        <v>4.5707039982998436</v>
      </c>
      <c r="I948" s="24">
        <f t="shared" ref="I948:AE948" si="321">I$70*I$946*$F$16</f>
        <v>5.9838111122177615</v>
      </c>
      <c r="J948" s="24">
        <f t="shared" si="321"/>
        <v>6.4012118862009721</v>
      </c>
      <c r="K948" s="24">
        <f t="shared" si="321"/>
        <v>6.5909015829159285</v>
      </c>
      <c r="L948" s="24">
        <f t="shared" si="321"/>
        <v>6.6073052652716138</v>
      </c>
      <c r="M948" s="24">
        <f t="shared" si="321"/>
        <v>6.7102732369294031</v>
      </c>
      <c r="N948" s="24">
        <f t="shared" si="321"/>
        <v>6.6814548539323289</v>
      </c>
      <c r="O948" s="24">
        <f t="shared" si="321"/>
        <v>6.8064158320876258</v>
      </c>
      <c r="P948" s="24">
        <f t="shared" si="321"/>
        <v>6.8241767156852866</v>
      </c>
      <c r="Q948" s="24">
        <f t="shared" si="321"/>
        <v>6.7846902538709983</v>
      </c>
      <c r="R948" s="24">
        <f t="shared" si="321"/>
        <v>6.7329482947482377</v>
      </c>
      <c r="S948" s="24">
        <f t="shared" si="321"/>
        <v>6.6973322273958846</v>
      </c>
      <c r="T948" s="24">
        <f t="shared" si="321"/>
        <v>6.6973322273958846</v>
      </c>
      <c r="U948" s="24">
        <f t="shared" si="321"/>
        <v>6.7329482947482377</v>
      </c>
      <c r="V948" s="24">
        <f t="shared" si="321"/>
        <v>6.7846902538709983</v>
      </c>
      <c r="W948" s="24">
        <f t="shared" si="321"/>
        <v>6.8241767156852866</v>
      </c>
      <c r="X948" s="24">
        <f t="shared" si="321"/>
        <v>6.8064158320876258</v>
      </c>
      <c r="Y948" s="24">
        <f t="shared" si="321"/>
        <v>6.6814548539323289</v>
      </c>
      <c r="Z948" s="24">
        <f t="shared" si="321"/>
        <v>6.7102732369294031</v>
      </c>
      <c r="AA948" s="24">
        <f t="shared" si="321"/>
        <v>6.6073052652716138</v>
      </c>
      <c r="AB948" s="24">
        <f t="shared" si="321"/>
        <v>6.5909015829159285</v>
      </c>
      <c r="AC948" s="24">
        <f t="shared" si="321"/>
        <v>6.4012118862009721</v>
      </c>
      <c r="AD948" s="24">
        <f t="shared" si="321"/>
        <v>5.9838111122177615</v>
      </c>
      <c r="AE948" s="24">
        <f t="shared" si="321"/>
        <v>4.5707039982998436</v>
      </c>
      <c r="AF948" s="28"/>
      <c r="AG948" s="11"/>
    </row>
    <row r="949" spans="1:33">
      <c r="A949" s="3"/>
      <c r="B949" s="5" t="s">
        <v>146</v>
      </c>
      <c r="C949" s="11"/>
      <c r="D949" t="s">
        <v>147</v>
      </c>
      <c r="F949" s="27"/>
      <c r="G949" t="s">
        <v>854</v>
      </c>
      <c r="I949" s="2"/>
      <c r="K949" s="2"/>
      <c r="M949" s="2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11"/>
    </row>
    <row r="950" spans="1:33">
      <c r="A950" s="3"/>
      <c r="C950" s="11"/>
      <c r="D950" s="2" t="s">
        <v>148</v>
      </c>
      <c r="F950" s="27"/>
      <c r="G950" s="2"/>
      <c r="I950" s="2"/>
      <c r="K950" s="2"/>
      <c r="M950" s="2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11"/>
    </row>
    <row r="951" spans="1:33">
      <c r="A951" t="s">
        <v>879</v>
      </c>
      <c r="C951" s="11"/>
      <c r="G951" s="98">
        <f>SUM(H951:AE951)/48</f>
        <v>72.205619590792821</v>
      </c>
      <c r="H951" s="97">
        <f>H$70*(1-($F$16+$F$13)*H$946)</f>
        <v>9.6528108086421582</v>
      </c>
      <c r="I951" s="97">
        <f t="shared" ref="I951:AE951" si="322">I$70*(1-($F$16+$F$13)*I$946)</f>
        <v>39.219641522653298</v>
      </c>
      <c r="J951" s="97">
        <f t="shared" si="322"/>
        <v>69.06410728589627</v>
      </c>
      <c r="K951" s="97">
        <f t="shared" si="322"/>
        <v>97.676418784721648</v>
      </c>
      <c r="L951" s="97">
        <f t="shared" si="322"/>
        <v>124.75666054023709</v>
      </c>
      <c r="M951" s="97">
        <f t="shared" si="322"/>
        <v>149.3265464500048</v>
      </c>
      <c r="N951" s="97">
        <f t="shared" si="322"/>
        <v>171.61422081379953</v>
      </c>
      <c r="O951" s="97">
        <f t="shared" si="322"/>
        <v>190.39238261960099</v>
      </c>
      <c r="P951" s="97">
        <f t="shared" si="322"/>
        <v>206.17827684002387</v>
      </c>
      <c r="Q951" s="97">
        <f t="shared" si="322"/>
        <v>218.22905053999673</v>
      </c>
      <c r="R951" s="97">
        <f t="shared" si="322"/>
        <v>226.27897397470147</v>
      </c>
      <c r="S951" s="97">
        <f t="shared" si="322"/>
        <v>230.54577999874994</v>
      </c>
      <c r="T951" s="97">
        <f t="shared" si="322"/>
        <v>230.54577999874994</v>
      </c>
      <c r="U951" s="97">
        <f t="shared" si="322"/>
        <v>226.27897397470147</v>
      </c>
      <c r="V951" s="97">
        <f t="shared" si="322"/>
        <v>218.22905053999673</v>
      </c>
      <c r="W951" s="97">
        <f t="shared" si="322"/>
        <v>206.17827684002387</v>
      </c>
      <c r="X951" s="97">
        <f t="shared" si="322"/>
        <v>190.39238261960099</v>
      </c>
      <c r="Y951" s="97">
        <f t="shared" si="322"/>
        <v>171.61422081379953</v>
      </c>
      <c r="Z951" s="97">
        <f t="shared" si="322"/>
        <v>149.3265464500048</v>
      </c>
      <c r="AA951" s="97">
        <f t="shared" si="322"/>
        <v>124.75666054023709</v>
      </c>
      <c r="AB951" s="97">
        <f t="shared" si="322"/>
        <v>97.676418784721648</v>
      </c>
      <c r="AC951" s="97">
        <f t="shared" si="322"/>
        <v>69.06410728589627</v>
      </c>
      <c r="AD951" s="97">
        <f t="shared" si="322"/>
        <v>39.219641522653298</v>
      </c>
      <c r="AE951" s="97">
        <f t="shared" si="322"/>
        <v>9.6528108086421582</v>
      </c>
      <c r="AF951" s="28"/>
      <c r="AG951" s="11"/>
    </row>
    <row r="952" spans="1:33">
      <c r="B952" s="24" t="s">
        <v>150</v>
      </c>
      <c r="D952" s="2" t="s">
        <v>149</v>
      </c>
      <c r="E952" s="24" t="s">
        <v>900</v>
      </c>
      <c r="H952" t="s">
        <v>853</v>
      </c>
      <c r="AF952" s="28"/>
      <c r="AG952" s="11"/>
    </row>
    <row r="953" spans="1:33">
      <c r="A953" t="s">
        <v>832</v>
      </c>
      <c r="C953" s="11"/>
      <c r="D953" s="24"/>
      <c r="G953" s="97">
        <f>SUM(H953:AE953)/48</f>
        <v>50.543933713554971</v>
      </c>
      <c r="H953" s="97">
        <f>H951*$V$20</f>
        <v>6.7569675660495108</v>
      </c>
      <c r="I953" s="97">
        <f t="shared" ref="I953:AE953" si="323">I951*$V$20</f>
        <v>27.453749065857306</v>
      </c>
      <c r="J953" s="97">
        <f t="shared" si="323"/>
        <v>48.344875100127389</v>
      </c>
      <c r="K953" s="97">
        <f t="shared" si="323"/>
        <v>68.373493149305148</v>
      </c>
      <c r="L953" s="97">
        <f t="shared" si="323"/>
        <v>87.329662378165963</v>
      </c>
      <c r="M953" s="97">
        <f t="shared" si="323"/>
        <v>104.52858251500335</v>
      </c>
      <c r="N953" s="97">
        <f t="shared" si="323"/>
        <v>120.12995456965966</v>
      </c>
      <c r="O953" s="97">
        <f t="shared" si="323"/>
        <v>133.27466783372068</v>
      </c>
      <c r="P953" s="97">
        <f t="shared" si="323"/>
        <v>144.32479378801671</v>
      </c>
      <c r="Q953" s="97">
        <f t="shared" si="323"/>
        <v>152.76033537799771</v>
      </c>
      <c r="R953" s="97">
        <f t="shared" si="323"/>
        <v>158.39528178229102</v>
      </c>
      <c r="S953" s="97">
        <f t="shared" si="323"/>
        <v>161.38204599912495</v>
      </c>
      <c r="T953" s="97">
        <f t="shared" si="323"/>
        <v>161.38204599912495</v>
      </c>
      <c r="U953" s="97">
        <f t="shared" si="323"/>
        <v>158.39528178229102</v>
      </c>
      <c r="V953" s="97">
        <f t="shared" si="323"/>
        <v>152.76033537799771</v>
      </c>
      <c r="W953" s="97">
        <f t="shared" si="323"/>
        <v>144.32479378801671</v>
      </c>
      <c r="X953" s="97">
        <f t="shared" si="323"/>
        <v>133.27466783372068</v>
      </c>
      <c r="Y953" s="97">
        <f t="shared" si="323"/>
        <v>120.12995456965966</v>
      </c>
      <c r="Z953" s="97">
        <f t="shared" si="323"/>
        <v>104.52858251500335</v>
      </c>
      <c r="AA953" s="97">
        <f t="shared" si="323"/>
        <v>87.329662378165963</v>
      </c>
      <c r="AB953" s="97">
        <f t="shared" si="323"/>
        <v>68.373493149305148</v>
      </c>
      <c r="AC953" s="97">
        <f t="shared" si="323"/>
        <v>48.344875100127389</v>
      </c>
      <c r="AD953" s="97">
        <f t="shared" si="323"/>
        <v>27.453749065857306</v>
      </c>
      <c r="AE953" s="97">
        <f t="shared" si="323"/>
        <v>6.7569675660495108</v>
      </c>
      <c r="AF953" s="28"/>
      <c r="AG953" s="11"/>
    </row>
    <row r="954" spans="1:33">
      <c r="B954" s="24" t="s">
        <v>912</v>
      </c>
      <c r="C954" s="14" t="s">
        <v>151</v>
      </c>
      <c r="D954" s="24" t="s">
        <v>152</v>
      </c>
      <c r="AF954" s="28"/>
      <c r="AG954" s="11"/>
    </row>
    <row r="955" spans="1:33">
      <c r="A955" s="20" t="s">
        <v>833</v>
      </c>
      <c r="B955" s="11"/>
      <c r="C955" s="11"/>
      <c r="D955" s="11"/>
      <c r="E955" s="27"/>
      <c r="F955" s="6"/>
      <c r="G955" s="19">
        <f>SUM(H955:AE955)/48</f>
        <v>49.995895568785478</v>
      </c>
      <c r="H955" s="24">
        <f>H953*(1-($F$16+$F$13)*$H$947)</f>
        <v>6.6837030672839077</v>
      </c>
      <c r="I955" s="24">
        <f t="shared" ref="I955:AE955" si="324">I953*(1-($F$16+$F$13)*$H$947)</f>
        <v>27.156073348919886</v>
      </c>
      <c r="J955" s="24">
        <f t="shared" si="324"/>
        <v>47.820680924637607</v>
      </c>
      <c r="K955" s="24">
        <f t="shared" si="324"/>
        <v>67.632132523333411</v>
      </c>
      <c r="L955" s="24">
        <f t="shared" si="324"/>
        <v>86.382763657850461</v>
      </c>
      <c r="M955" s="24">
        <f t="shared" si="324"/>
        <v>103.39519921402088</v>
      </c>
      <c r="N955" s="24">
        <f t="shared" si="324"/>
        <v>118.82740859437588</v>
      </c>
      <c r="O955" s="24">
        <f t="shared" si="324"/>
        <v>131.82959626255456</v>
      </c>
      <c r="P955" s="24">
        <f t="shared" si="324"/>
        <v>142.75990782801051</v>
      </c>
      <c r="Q955" s="24">
        <f t="shared" si="324"/>
        <v>151.1039844641694</v>
      </c>
      <c r="R955" s="24">
        <f t="shared" si="324"/>
        <v>156.67783222919203</v>
      </c>
      <c r="S955" s="24">
        <f t="shared" si="324"/>
        <v>159.63221153650284</v>
      </c>
      <c r="T955" s="24">
        <f t="shared" si="324"/>
        <v>159.63221153650284</v>
      </c>
      <c r="U955" s="24">
        <f t="shared" si="324"/>
        <v>156.67783222919203</v>
      </c>
      <c r="V955" s="24">
        <f t="shared" si="324"/>
        <v>151.1039844641694</v>
      </c>
      <c r="W955" s="24">
        <f t="shared" si="324"/>
        <v>142.75990782801051</v>
      </c>
      <c r="X955" s="24">
        <f t="shared" si="324"/>
        <v>131.82959626255456</v>
      </c>
      <c r="Y955" s="24">
        <f t="shared" si="324"/>
        <v>118.82740859437588</v>
      </c>
      <c r="Z955" s="24">
        <f t="shared" si="324"/>
        <v>103.39519921402088</v>
      </c>
      <c r="AA955" s="24">
        <f t="shared" si="324"/>
        <v>86.382763657850461</v>
      </c>
      <c r="AB955" s="24">
        <f t="shared" si="324"/>
        <v>67.632132523333411</v>
      </c>
      <c r="AC955" s="24">
        <f t="shared" si="324"/>
        <v>47.820680924637607</v>
      </c>
      <c r="AD955" s="24">
        <f t="shared" si="324"/>
        <v>27.156073348919886</v>
      </c>
      <c r="AE955" s="24">
        <f t="shared" si="324"/>
        <v>6.6837030672839077</v>
      </c>
      <c r="AF955" s="28"/>
      <c r="AG955" s="11"/>
    </row>
    <row r="956" spans="1:33">
      <c r="A956" s="20"/>
      <c r="B956" s="24" t="s">
        <v>153</v>
      </c>
      <c r="C956" s="11"/>
      <c r="D956" t="s">
        <v>154</v>
      </c>
      <c r="G956" s="27"/>
      <c r="H956" s="24" t="s">
        <v>900</v>
      </c>
      <c r="K956" t="s">
        <v>853</v>
      </c>
      <c r="M956" s="28"/>
      <c r="O956" s="28"/>
      <c r="P956" s="28"/>
      <c r="Q956" s="11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11"/>
    </row>
    <row r="957" spans="1:33">
      <c r="A957" t="s">
        <v>834</v>
      </c>
      <c r="B957" s="5"/>
      <c r="C957" s="11"/>
      <c r="D957" s="5" t="s">
        <v>155</v>
      </c>
      <c r="F957" t="s">
        <v>156</v>
      </c>
      <c r="G957" s="97">
        <f>SUM(H957:AE957)/48</f>
        <v>0.53729229879363039</v>
      </c>
      <c r="H957" s="97">
        <f>H953*$H$947*$F$16</f>
        <v>7.1827939966277649E-2</v>
      </c>
      <c r="I957" s="97">
        <f t="shared" ref="I957:AE957" si="325">I953*$H$947*$F$16</f>
        <v>0.29183893817394124</v>
      </c>
      <c r="J957" s="97">
        <f t="shared" si="325"/>
        <v>0.51391585832331588</v>
      </c>
      <c r="K957" s="97">
        <f t="shared" si="325"/>
        <v>0.72682414310955423</v>
      </c>
      <c r="L957" s="97">
        <f t="shared" si="325"/>
        <v>0.92833207874069545</v>
      </c>
      <c r="M957" s="97">
        <f t="shared" si="325"/>
        <v>1.1111600990024266</v>
      </c>
      <c r="N957" s="97">
        <f t="shared" si="325"/>
        <v>1.2770058581213484</v>
      </c>
      <c r="O957" s="97">
        <f t="shared" si="325"/>
        <v>1.4167368344766063</v>
      </c>
      <c r="P957" s="97">
        <f t="shared" si="325"/>
        <v>1.5342019215746971</v>
      </c>
      <c r="Q957" s="97">
        <f t="shared" si="325"/>
        <v>1.6238734449297278</v>
      </c>
      <c r="R957" s="97">
        <f t="shared" si="325"/>
        <v>1.6837740716656662</v>
      </c>
      <c r="S957" s="97">
        <f t="shared" si="325"/>
        <v>1.7155239829628728</v>
      </c>
      <c r="T957" s="97">
        <f t="shared" si="325"/>
        <v>1.7155239829628728</v>
      </c>
      <c r="U957" s="97">
        <f t="shared" si="325"/>
        <v>1.6837740716656662</v>
      </c>
      <c r="V957" s="97">
        <f t="shared" si="325"/>
        <v>1.6238734449297278</v>
      </c>
      <c r="W957" s="97">
        <f t="shared" si="325"/>
        <v>1.5342019215746971</v>
      </c>
      <c r="X957" s="97">
        <f t="shared" si="325"/>
        <v>1.4167368344766063</v>
      </c>
      <c r="Y957" s="97">
        <f t="shared" si="325"/>
        <v>1.2770058581213484</v>
      </c>
      <c r="Z957" s="97">
        <f t="shared" si="325"/>
        <v>1.1111600990024266</v>
      </c>
      <c r="AA957" s="97">
        <f t="shared" si="325"/>
        <v>0.92833207874069545</v>
      </c>
      <c r="AB957" s="97">
        <f t="shared" si="325"/>
        <v>0.72682414310955423</v>
      </c>
      <c r="AC957" s="97">
        <f t="shared" si="325"/>
        <v>0.51391585832331588</v>
      </c>
      <c r="AD957" s="97">
        <f t="shared" si="325"/>
        <v>0.29183893817394124</v>
      </c>
      <c r="AE957" s="97">
        <f t="shared" si="325"/>
        <v>7.1827939966277649E-2</v>
      </c>
      <c r="AF957" s="28"/>
      <c r="AG957" s="11"/>
    </row>
    <row r="958" spans="1:33">
      <c r="A958" t="s">
        <v>909</v>
      </c>
      <c r="B958" s="5"/>
      <c r="C958" s="11"/>
      <c r="D958" s="5" t="s">
        <v>157</v>
      </c>
      <c r="G958" s="97">
        <f>SUM(H958:AE958)/48</f>
        <v>0.37610460915554128</v>
      </c>
      <c r="H958" s="97">
        <f>H957*$V$20</f>
        <v>5.027955797639435E-2</v>
      </c>
      <c r="I958" s="97">
        <f t="shared" ref="I958:AE958" si="326">I957*$V$20</f>
        <v>0.20428725672175885</v>
      </c>
      <c r="J958" s="97">
        <f t="shared" si="326"/>
        <v>0.3597411008263211</v>
      </c>
      <c r="K958" s="97">
        <f t="shared" si="326"/>
        <v>0.50877690017668797</v>
      </c>
      <c r="L958" s="97">
        <f t="shared" si="326"/>
        <v>0.64983245511848675</v>
      </c>
      <c r="M958" s="97">
        <f t="shared" si="326"/>
        <v>0.77781206930169855</v>
      </c>
      <c r="N958" s="97">
        <f t="shared" si="326"/>
        <v>0.89390410068494375</v>
      </c>
      <c r="O958" s="97">
        <f t="shared" si="326"/>
        <v>0.99171578413362427</v>
      </c>
      <c r="P958" s="97">
        <f t="shared" si="326"/>
        <v>1.0739413451022879</v>
      </c>
      <c r="Q958" s="97">
        <f t="shared" si="326"/>
        <v>1.1367114114508095</v>
      </c>
      <c r="R958" s="97">
        <f t="shared" si="326"/>
        <v>1.1786418501659663</v>
      </c>
      <c r="S958" s="97">
        <f t="shared" si="326"/>
        <v>1.2008667880740109</v>
      </c>
      <c r="T958" s="97">
        <f t="shared" si="326"/>
        <v>1.2008667880740109</v>
      </c>
      <c r="U958" s="97">
        <f t="shared" si="326"/>
        <v>1.1786418501659663</v>
      </c>
      <c r="V958" s="97">
        <f t="shared" si="326"/>
        <v>1.1367114114508095</v>
      </c>
      <c r="W958" s="97">
        <f t="shared" si="326"/>
        <v>1.0739413451022879</v>
      </c>
      <c r="X958" s="97">
        <f t="shared" si="326"/>
        <v>0.99171578413362427</v>
      </c>
      <c r="Y958" s="97">
        <f t="shared" si="326"/>
        <v>0.89390410068494375</v>
      </c>
      <c r="Z958" s="97">
        <f t="shared" si="326"/>
        <v>0.77781206930169855</v>
      </c>
      <c r="AA958" s="97">
        <f t="shared" si="326"/>
        <v>0.64983245511848675</v>
      </c>
      <c r="AB958" s="97">
        <f t="shared" si="326"/>
        <v>0.50877690017668797</v>
      </c>
      <c r="AC958" s="97">
        <f t="shared" si="326"/>
        <v>0.3597411008263211</v>
      </c>
      <c r="AD958" s="97">
        <f t="shared" si="326"/>
        <v>0.20428725672175885</v>
      </c>
      <c r="AE958" s="97">
        <f t="shared" si="326"/>
        <v>5.027955797639435E-2</v>
      </c>
      <c r="AF958" s="28"/>
      <c r="AG958" s="11"/>
    </row>
    <row r="959" spans="1:33">
      <c r="A959" s="20" t="s">
        <v>835</v>
      </c>
      <c r="B959" s="5"/>
      <c r="C959" s="11"/>
      <c r="G959" s="19">
        <f>SUM(H959:AE959)/48</f>
        <v>0.37202657926952187</v>
      </c>
      <c r="H959" s="24">
        <f>H958*(1-($F$16+$F$13)*$H$947)</f>
        <v>4.9734386406856936E-2</v>
      </c>
      <c r="I959" s="24">
        <f t="shared" ref="I959:AE959" si="327">I958*(1-($F$16+$F$13)*$H$947)</f>
        <v>0.20207220931748809</v>
      </c>
      <c r="J959" s="24">
        <f t="shared" si="327"/>
        <v>0.35584049731153528</v>
      </c>
      <c r="K959" s="24">
        <f t="shared" si="327"/>
        <v>0.50326033017533822</v>
      </c>
      <c r="L959" s="24">
        <f t="shared" si="327"/>
        <v>0.64278644688469078</v>
      </c>
      <c r="M959" s="24">
        <f t="shared" si="327"/>
        <v>0.76937840274429892</v>
      </c>
      <c r="N959" s="24">
        <f t="shared" si="327"/>
        <v>0.88421167057616801</v>
      </c>
      <c r="O959" s="24">
        <f t="shared" si="327"/>
        <v>0.98096280076760134</v>
      </c>
      <c r="P959" s="24">
        <f t="shared" si="327"/>
        <v>1.0622968058051163</v>
      </c>
      <c r="Q959" s="24">
        <f t="shared" si="327"/>
        <v>1.1243862684059429</v>
      </c>
      <c r="R959" s="24">
        <f t="shared" si="327"/>
        <v>1.1658620634447081</v>
      </c>
      <c r="S959" s="24">
        <f t="shared" si="327"/>
        <v>1.1878460206287795</v>
      </c>
      <c r="T959" s="24">
        <f t="shared" si="327"/>
        <v>1.1878460206287795</v>
      </c>
      <c r="U959" s="24">
        <f t="shared" si="327"/>
        <v>1.1658620634447081</v>
      </c>
      <c r="V959" s="24">
        <f t="shared" si="327"/>
        <v>1.1243862684059429</v>
      </c>
      <c r="W959" s="24">
        <f t="shared" si="327"/>
        <v>1.0622968058051163</v>
      </c>
      <c r="X959" s="24">
        <f t="shared" si="327"/>
        <v>0.98096280076760134</v>
      </c>
      <c r="Y959" s="24">
        <f t="shared" si="327"/>
        <v>0.88421167057616801</v>
      </c>
      <c r="Z959" s="24">
        <f t="shared" si="327"/>
        <v>0.76937840274429892</v>
      </c>
      <c r="AA959" s="24">
        <f t="shared" si="327"/>
        <v>0.64278644688469078</v>
      </c>
      <c r="AB959" s="24">
        <f t="shared" si="327"/>
        <v>0.50326033017533822</v>
      </c>
      <c r="AC959" s="24">
        <f t="shared" si="327"/>
        <v>0.35584049731153528</v>
      </c>
      <c r="AD959" s="24">
        <f t="shared" si="327"/>
        <v>0.20207220931748809</v>
      </c>
      <c r="AE959" s="24">
        <f t="shared" si="327"/>
        <v>4.9734386406856936E-2</v>
      </c>
      <c r="AF959" s="28"/>
      <c r="AG959" s="11"/>
    </row>
    <row r="960" spans="1:33">
      <c r="A960" s="20"/>
      <c r="B960" s="24" t="s">
        <v>158</v>
      </c>
      <c r="C960" s="11"/>
      <c r="D960" t="s">
        <v>154</v>
      </c>
      <c r="G960" s="27"/>
      <c r="H960" s="24" t="s">
        <v>900</v>
      </c>
      <c r="K960" t="s">
        <v>853</v>
      </c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8"/>
      <c r="AG960" s="11"/>
    </row>
    <row r="961" spans="1:33">
      <c r="A961" s="100" t="s">
        <v>836</v>
      </c>
      <c r="B961" s="5"/>
      <c r="C961" s="11"/>
      <c r="G961" s="19">
        <f>SUM(H961:AE961)/48</f>
        <v>2.7683027598248105E-3</v>
      </c>
      <c r="H961" s="2">
        <f>H959^2/H955</f>
        <v>3.7008065235185998E-4</v>
      </c>
      <c r="I961" s="2">
        <f t="shared" ref="I961:AE961" si="328">I959^2/I955</f>
        <v>1.5036480883593884E-3</v>
      </c>
      <c r="J961" s="2">
        <f t="shared" si="328"/>
        <v>2.6478598187773569E-3</v>
      </c>
      <c r="K961" s="2">
        <f t="shared" si="328"/>
        <v>3.7448317904335005E-3</v>
      </c>
      <c r="L961" s="2">
        <f t="shared" si="328"/>
        <v>4.783065495972889E-3</v>
      </c>
      <c r="M961" s="2">
        <f t="shared" si="328"/>
        <v>5.7250542685650958E-3</v>
      </c>
      <c r="N961" s="2">
        <f t="shared" si="328"/>
        <v>6.5795449688877752E-3</v>
      </c>
      <c r="O961" s="2">
        <f t="shared" si="328"/>
        <v>7.2994839077964255E-3</v>
      </c>
      <c r="P961" s="2">
        <f t="shared" si="328"/>
        <v>7.9047018227503939E-3</v>
      </c>
      <c r="Q961" s="2">
        <f t="shared" si="328"/>
        <v>8.3667183566534329E-3</v>
      </c>
      <c r="R961" s="2">
        <f t="shared" si="328"/>
        <v>8.6753456544588423E-3</v>
      </c>
      <c r="S961" s="2">
        <f t="shared" si="328"/>
        <v>8.8389314107884843E-3</v>
      </c>
      <c r="T961" s="2">
        <f t="shared" si="328"/>
        <v>8.8389314107884843E-3</v>
      </c>
      <c r="U961" s="2">
        <f t="shared" si="328"/>
        <v>8.6753456544588423E-3</v>
      </c>
      <c r="V961" s="2">
        <f t="shared" si="328"/>
        <v>8.3667183566534329E-3</v>
      </c>
      <c r="W961" s="2">
        <f t="shared" si="328"/>
        <v>7.9047018227503939E-3</v>
      </c>
      <c r="X961" s="2">
        <f t="shared" si="328"/>
        <v>7.2994839077964255E-3</v>
      </c>
      <c r="Y961" s="2">
        <f t="shared" si="328"/>
        <v>6.5795449688877752E-3</v>
      </c>
      <c r="Z961" s="2">
        <f t="shared" si="328"/>
        <v>5.7250542685650958E-3</v>
      </c>
      <c r="AA961" s="2">
        <f t="shared" si="328"/>
        <v>4.783065495972889E-3</v>
      </c>
      <c r="AB961" s="2">
        <f t="shared" si="328"/>
        <v>3.7448317904335005E-3</v>
      </c>
      <c r="AC961" s="2">
        <f t="shared" si="328"/>
        <v>2.6478598187773569E-3</v>
      </c>
      <c r="AD961" s="2">
        <f t="shared" si="328"/>
        <v>1.5036480883593884E-3</v>
      </c>
      <c r="AE961" s="2">
        <f t="shared" si="328"/>
        <v>3.7008065235185998E-4</v>
      </c>
      <c r="AF961" s="28"/>
      <c r="AG961" s="11"/>
    </row>
    <row r="962" spans="1:33">
      <c r="A962" s="100"/>
      <c r="B962" s="24" t="s">
        <v>159</v>
      </c>
      <c r="C962" s="11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8"/>
      <c r="AG962" s="11"/>
    </row>
    <row r="963" spans="1:33">
      <c r="A963" s="20" t="s">
        <v>837</v>
      </c>
      <c r="B963" s="11"/>
      <c r="C963" s="11"/>
      <c r="D963" s="11"/>
      <c r="E963" s="27"/>
      <c r="F963" s="6"/>
      <c r="G963" s="19">
        <f>SUM(H963:AE963)/24</f>
        <v>287.9186683248235</v>
      </c>
      <c r="H963" s="24">
        <f>$V$24*(1-$H$947*(1-$F$14))</f>
        <v>287.91866832482344</v>
      </c>
      <c r="I963" s="24">
        <f t="shared" ref="I963:AE963" si="329">$V$24*(1-$H$947*(1-$F$14))</f>
        <v>287.91866832482344</v>
      </c>
      <c r="J963" s="24">
        <f t="shared" si="329"/>
        <v>287.91866832482344</v>
      </c>
      <c r="K963" s="24">
        <f t="shared" si="329"/>
        <v>287.91866832482344</v>
      </c>
      <c r="L963" s="24">
        <f t="shared" si="329"/>
        <v>287.91866832482344</v>
      </c>
      <c r="M963" s="24">
        <f t="shared" si="329"/>
        <v>287.91866832482344</v>
      </c>
      <c r="N963" s="24">
        <f t="shared" si="329"/>
        <v>287.91866832482344</v>
      </c>
      <c r="O963" s="24">
        <f t="shared" si="329"/>
        <v>287.91866832482344</v>
      </c>
      <c r="P963" s="24">
        <f t="shared" si="329"/>
        <v>287.91866832482344</v>
      </c>
      <c r="Q963" s="24">
        <f t="shared" si="329"/>
        <v>287.91866832482344</v>
      </c>
      <c r="R963" s="24">
        <f t="shared" si="329"/>
        <v>287.91866832482344</v>
      </c>
      <c r="S963" s="24">
        <f t="shared" si="329"/>
        <v>287.91866832482344</v>
      </c>
      <c r="T963" s="24">
        <f t="shared" si="329"/>
        <v>287.91866832482344</v>
      </c>
      <c r="U963" s="24">
        <f t="shared" si="329"/>
        <v>287.91866832482344</v>
      </c>
      <c r="V963" s="24">
        <f t="shared" si="329"/>
        <v>287.91866832482344</v>
      </c>
      <c r="W963" s="24">
        <f t="shared" si="329"/>
        <v>287.91866832482344</v>
      </c>
      <c r="X963" s="24">
        <f t="shared" si="329"/>
        <v>287.91866832482344</v>
      </c>
      <c r="Y963" s="24">
        <f t="shared" si="329"/>
        <v>287.91866832482344</v>
      </c>
      <c r="Z963" s="24">
        <f t="shared" si="329"/>
        <v>287.91866832482344</v>
      </c>
      <c r="AA963" s="24">
        <f t="shared" si="329"/>
        <v>287.91866832482344</v>
      </c>
      <c r="AB963" s="24">
        <f t="shared" si="329"/>
        <v>287.91866832482344</v>
      </c>
      <c r="AC963" s="24">
        <f t="shared" si="329"/>
        <v>287.91866832482344</v>
      </c>
      <c r="AD963" s="24">
        <f t="shared" si="329"/>
        <v>287.91866832482344</v>
      </c>
      <c r="AE963" s="24">
        <f t="shared" si="329"/>
        <v>287.91866832482344</v>
      </c>
      <c r="AF963" s="28"/>
      <c r="AG963" s="11"/>
    </row>
    <row r="964" spans="1:33">
      <c r="A964" s="20"/>
      <c r="B964" s="5" t="s">
        <v>160</v>
      </c>
      <c r="C964" s="11"/>
      <c r="D964" t="s">
        <v>161</v>
      </c>
      <c r="E964" s="2"/>
      <c r="G964" t="s">
        <v>162</v>
      </c>
      <c r="I964" s="11"/>
      <c r="J964" s="28"/>
      <c r="K964" s="2" t="s">
        <v>844</v>
      </c>
      <c r="L964" s="12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11"/>
    </row>
    <row r="965" spans="1:33">
      <c r="A965" s="12" t="s">
        <v>573</v>
      </c>
      <c r="B965" t="s">
        <v>839</v>
      </c>
      <c r="E965" s="12"/>
      <c r="F965" s="6"/>
      <c r="G965" s="32"/>
      <c r="H965" s="3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3">
      <c r="A966" s="11"/>
      <c r="B966" s="14" t="s">
        <v>870</v>
      </c>
      <c r="E966" s="12"/>
      <c r="F966" s="6"/>
      <c r="G966" s="32"/>
      <c r="H966" s="3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3">
      <c r="A967" s="11"/>
      <c r="B967" s="14" t="s">
        <v>845</v>
      </c>
      <c r="E967" s="12"/>
      <c r="F967" s="6"/>
      <c r="G967" s="32"/>
      <c r="H967" s="3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3">
      <c r="A968" s="11"/>
      <c r="B968" s="14" t="s">
        <v>842</v>
      </c>
      <c r="E968" s="12"/>
      <c r="F968" s="6"/>
      <c r="G968" s="32"/>
      <c r="H968" s="3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3">
      <c r="A969" s="20" t="s">
        <v>914</v>
      </c>
      <c r="B969" s="11"/>
      <c r="C969" s="11"/>
      <c r="D969" s="11"/>
      <c r="E969" s="27"/>
      <c r="F969" s="6"/>
      <c r="G969" s="19">
        <f>SUM(H969:AE969)/24</f>
        <v>2.5618512323568008</v>
      </c>
      <c r="H969" s="24">
        <f t="shared" ref="H969:AE969" si="330">$M$9*($F$9+273)^4*$F$10*$F$18</f>
        <v>2.5618512323567995</v>
      </c>
      <c r="I969" s="24">
        <f t="shared" si="330"/>
        <v>2.5618512323567995</v>
      </c>
      <c r="J969" s="24">
        <f t="shared" si="330"/>
        <v>2.5618512323567995</v>
      </c>
      <c r="K969" s="24">
        <f t="shared" si="330"/>
        <v>2.5618512323567995</v>
      </c>
      <c r="L969" s="24">
        <f t="shared" si="330"/>
        <v>2.5618512323567995</v>
      </c>
      <c r="M969" s="24">
        <f t="shared" si="330"/>
        <v>2.5618512323567995</v>
      </c>
      <c r="N969" s="24">
        <f t="shared" si="330"/>
        <v>2.5618512323567995</v>
      </c>
      <c r="O969" s="24">
        <f t="shared" si="330"/>
        <v>2.5618512323567995</v>
      </c>
      <c r="P969" s="24">
        <f t="shared" si="330"/>
        <v>2.5618512323567995</v>
      </c>
      <c r="Q969" s="24">
        <f t="shared" si="330"/>
        <v>2.5618512323567995</v>
      </c>
      <c r="R969" s="24">
        <f t="shared" si="330"/>
        <v>2.5618512323567995</v>
      </c>
      <c r="S969" s="24">
        <f t="shared" si="330"/>
        <v>2.5618512323567995</v>
      </c>
      <c r="T969" s="24">
        <f t="shared" si="330"/>
        <v>2.5618512323567995</v>
      </c>
      <c r="U969" s="24">
        <f t="shared" si="330"/>
        <v>2.5618512323567995</v>
      </c>
      <c r="V969" s="24">
        <f t="shared" si="330"/>
        <v>2.5618512323567995</v>
      </c>
      <c r="W969" s="24">
        <f t="shared" si="330"/>
        <v>2.5618512323567995</v>
      </c>
      <c r="X969" s="24">
        <f t="shared" si="330"/>
        <v>2.5618512323567995</v>
      </c>
      <c r="Y969" s="24">
        <f t="shared" si="330"/>
        <v>2.5618512323567995</v>
      </c>
      <c r="Z969" s="24">
        <f t="shared" si="330"/>
        <v>2.5618512323567995</v>
      </c>
      <c r="AA969" s="24">
        <f t="shared" si="330"/>
        <v>2.5618512323567995</v>
      </c>
      <c r="AB969" s="24">
        <f t="shared" si="330"/>
        <v>2.5618512323567995</v>
      </c>
      <c r="AC969" s="24">
        <f t="shared" si="330"/>
        <v>2.5618512323567995</v>
      </c>
      <c r="AD969" s="24">
        <f t="shared" si="330"/>
        <v>2.5618512323567995</v>
      </c>
      <c r="AE969" s="24">
        <f t="shared" si="330"/>
        <v>2.5618512323567995</v>
      </c>
      <c r="AF969" s="28"/>
      <c r="AG969" s="11"/>
    </row>
    <row r="970" spans="1:33">
      <c r="A970" s="20"/>
      <c r="B970" s="5" t="s">
        <v>923</v>
      </c>
      <c r="C970" s="11"/>
      <c r="D970" t="s">
        <v>743</v>
      </c>
      <c r="E970" s="27"/>
      <c r="F970" s="6"/>
      <c r="G970" s="28"/>
      <c r="H970" t="s">
        <v>717</v>
      </c>
      <c r="I970" s="29"/>
      <c r="J970" s="11"/>
      <c r="K970" s="2" t="s">
        <v>719</v>
      </c>
      <c r="L970" s="11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11"/>
    </row>
    <row r="971" spans="1:33">
      <c r="A971" s="20"/>
      <c r="B971" s="27" t="s">
        <v>925</v>
      </c>
      <c r="C971" s="11" t="s">
        <v>924</v>
      </c>
      <c r="E971" s="27"/>
      <c r="F971" s="6"/>
      <c r="G971" s="28"/>
      <c r="I971" s="29"/>
      <c r="J971" s="11"/>
      <c r="K971" s="2"/>
      <c r="L971" s="11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11"/>
    </row>
    <row r="972" spans="1:33">
      <c r="A972" s="20"/>
      <c r="B972" s="14"/>
      <c r="C972" t="s">
        <v>926</v>
      </c>
      <c r="E972" s="27"/>
      <c r="F972" s="6"/>
      <c r="G972" s="28"/>
      <c r="I972" s="29"/>
      <c r="J972" s="11"/>
      <c r="K972" s="2"/>
      <c r="L972" s="11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11"/>
    </row>
    <row r="973" spans="1:33">
      <c r="A973" s="20"/>
      <c r="B973" s="16" t="s">
        <v>740</v>
      </c>
      <c r="C973" s="11"/>
      <c r="D973" s="11"/>
      <c r="E973" s="27"/>
      <c r="F973" s="6"/>
      <c r="G973" s="32">
        <f>G948+G955+G959+G961+G963+G969</f>
        <v>344.07584439380997</v>
      </c>
      <c r="H973" s="33"/>
      <c r="I973" s="29"/>
      <c r="J973" s="28"/>
      <c r="K973" s="11"/>
      <c r="L973" s="11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11"/>
    </row>
    <row r="974" spans="1:33">
      <c r="A974" s="20"/>
      <c r="B974" s="16" t="s">
        <v>721</v>
      </c>
      <c r="G974" s="32">
        <f>G943-G973</f>
        <v>2.8156359032169007</v>
      </c>
      <c r="H974" s="33"/>
      <c r="I974" s="8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3">
      <c r="A975" s="39" t="s">
        <v>513</v>
      </c>
      <c r="B975" s="16"/>
      <c r="G975" s="32"/>
      <c r="H975" s="3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3">
      <c r="A976" s="3" t="s">
        <v>771</v>
      </c>
      <c r="G976" t="s">
        <v>535</v>
      </c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3">
      <c r="A977" s="20" t="s">
        <v>873</v>
      </c>
      <c r="B977" s="11"/>
      <c r="C977" s="11"/>
      <c r="D977" s="11"/>
      <c r="E977" s="14" t="s">
        <v>563</v>
      </c>
      <c r="F977" s="31">
        <f>$F$15</f>
        <v>0.7</v>
      </c>
      <c r="G977" s="19">
        <f>SUM(H977:AE977)/48</f>
        <v>36.182057802707256</v>
      </c>
      <c r="H977" s="2">
        <f>H$70*H$27*$F$15</f>
        <v>0</v>
      </c>
      <c r="I977" s="2">
        <f t="shared" ref="I977:AE977" si="331">I$70*I$27*$F$15</f>
        <v>0</v>
      </c>
      <c r="J977" s="2">
        <f t="shared" si="331"/>
        <v>0</v>
      </c>
      <c r="K977" s="2">
        <f t="shared" si="331"/>
        <v>0</v>
      </c>
      <c r="L977" s="2">
        <f t="shared" si="331"/>
        <v>0</v>
      </c>
      <c r="M977" s="2">
        <f t="shared" si="331"/>
        <v>0</v>
      </c>
      <c r="N977" s="2">
        <f t="shared" si="331"/>
        <v>0</v>
      </c>
      <c r="O977" s="2">
        <f t="shared" si="331"/>
        <v>0</v>
      </c>
      <c r="P977" s="2">
        <f t="shared" si="331"/>
        <v>149.197255963016</v>
      </c>
      <c r="Q977" s="2">
        <f t="shared" si="331"/>
        <v>157.60460421926157</v>
      </c>
      <c r="R977" s="2">
        <f t="shared" si="331"/>
        <v>163.20260686474126</v>
      </c>
      <c r="S977" s="2">
        <f t="shared" si="331"/>
        <v>166.16394120948561</v>
      </c>
      <c r="T977" s="2">
        <f t="shared" si="331"/>
        <v>166.16394120948561</v>
      </c>
      <c r="U977" s="2">
        <f t="shared" si="331"/>
        <v>163.20260686474126</v>
      </c>
      <c r="V977" s="2">
        <f t="shared" si="331"/>
        <v>157.60460421926157</v>
      </c>
      <c r="W977" s="2">
        <f t="shared" si="331"/>
        <v>149.197255963016</v>
      </c>
      <c r="X977" s="2">
        <f t="shared" si="331"/>
        <v>138.13444873783126</v>
      </c>
      <c r="Y977" s="2">
        <f t="shared" si="331"/>
        <v>124.90051333536734</v>
      </c>
      <c r="Z977" s="2">
        <f t="shared" si="331"/>
        <v>109.31971760617094</v>
      </c>
      <c r="AA977" s="2">
        <f t="shared" si="331"/>
        <v>92.047278337569892</v>
      </c>
      <c r="AB977" s="2">
        <f t="shared" si="331"/>
        <v>0</v>
      </c>
      <c r="AC977" s="2">
        <f t="shared" si="331"/>
        <v>0</v>
      </c>
      <c r="AD977" s="2">
        <f t="shared" si="331"/>
        <v>0</v>
      </c>
      <c r="AE977" s="2">
        <f t="shared" si="331"/>
        <v>0</v>
      </c>
      <c r="AF977" s="2"/>
    </row>
    <row r="978" spans="1:33">
      <c r="A978" s="5"/>
      <c r="B978" s="5" t="s">
        <v>163</v>
      </c>
      <c r="C978" s="11"/>
      <c r="D978" t="s">
        <v>166</v>
      </c>
      <c r="E978" s="12"/>
      <c r="F978" s="18"/>
      <c r="G978" s="19"/>
      <c r="H978" s="2" t="s">
        <v>860</v>
      </c>
      <c r="I978" s="2"/>
      <c r="J978" s="2" t="s">
        <v>861</v>
      </c>
      <c r="K978" s="26"/>
      <c r="L978" s="2"/>
      <c r="M978" s="2"/>
      <c r="N978" s="2"/>
      <c r="O978" s="26"/>
      <c r="P978" s="2"/>
      <c r="Q978" s="2"/>
      <c r="R978" s="26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3">
      <c r="A979" s="20" t="s">
        <v>874</v>
      </c>
      <c r="G979" s="19">
        <f>SUM(H979:AE979)/48</f>
        <v>16.754720006826272</v>
      </c>
      <c r="H979" s="2">
        <f>H$70*$V$20*H$28^2</f>
        <v>10.020450220835597</v>
      </c>
      <c r="I979" s="2">
        <f t="shared" ref="I979:AE979" si="332">I$70*$V$20*I$28^2</f>
        <v>31.726190199980788</v>
      </c>
      <c r="J979" s="2">
        <f t="shared" si="332"/>
        <v>52.915340386874881</v>
      </c>
      <c r="K979" s="2">
        <f t="shared" si="332"/>
        <v>73.079396879507115</v>
      </c>
      <c r="L979" s="2">
        <f t="shared" si="332"/>
        <v>92.047278337569892</v>
      </c>
      <c r="M979" s="2">
        <f t="shared" si="332"/>
        <v>109.31971760617094</v>
      </c>
      <c r="N979" s="2">
        <f t="shared" si="332"/>
        <v>124.90051333536734</v>
      </c>
      <c r="O979" s="2">
        <f t="shared" si="332"/>
        <v>138.13444873783126</v>
      </c>
      <c r="P979" s="2">
        <f t="shared" si="332"/>
        <v>0.37299313990754068</v>
      </c>
      <c r="Q979" s="2">
        <f t="shared" si="332"/>
        <v>0.39401151054815464</v>
      </c>
      <c r="R979" s="2">
        <f t="shared" si="332"/>
        <v>0.40800651716185388</v>
      </c>
      <c r="S979" s="2">
        <f t="shared" si="332"/>
        <v>0.41540985302371475</v>
      </c>
      <c r="T979" s="2">
        <f t="shared" si="332"/>
        <v>0.41540985302371475</v>
      </c>
      <c r="U979" s="2">
        <f t="shared" si="332"/>
        <v>0.40800651716185388</v>
      </c>
      <c r="V979" s="2">
        <f t="shared" si="332"/>
        <v>0.39401151054815464</v>
      </c>
      <c r="W979" s="2">
        <f t="shared" si="332"/>
        <v>0.37299313990754068</v>
      </c>
      <c r="X979" s="2">
        <f t="shared" si="332"/>
        <v>0.34533612184457879</v>
      </c>
      <c r="Y979" s="2">
        <f t="shared" si="332"/>
        <v>0.31225128333841889</v>
      </c>
      <c r="Z979" s="2">
        <f t="shared" si="332"/>
        <v>0.27329929401542785</v>
      </c>
      <c r="AA979" s="2">
        <f t="shared" si="332"/>
        <v>0.23011819584392512</v>
      </c>
      <c r="AB979" s="2">
        <f t="shared" si="332"/>
        <v>73.079396879507115</v>
      </c>
      <c r="AC979" s="2">
        <f t="shared" si="332"/>
        <v>52.915340386874881</v>
      </c>
      <c r="AD979" s="2">
        <f t="shared" si="332"/>
        <v>31.726190199980788</v>
      </c>
      <c r="AE979" s="2">
        <f t="shared" si="332"/>
        <v>10.020450220835597</v>
      </c>
      <c r="AF979" s="2"/>
    </row>
    <row r="980" spans="1:33">
      <c r="A980" s="16"/>
      <c r="B980" s="5" t="s">
        <v>164</v>
      </c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3">
      <c r="A981" s="20" t="s">
        <v>875</v>
      </c>
      <c r="E981" s="12"/>
      <c r="F981" s="6"/>
      <c r="G981" s="19">
        <f>(SUM(H981:AE981)+24*$V$24)/48</f>
        <v>220.533868224</v>
      </c>
      <c r="H981" s="2">
        <f>$V$24*(1-H$27)</f>
        <v>294.04515763199998</v>
      </c>
      <c r="I981" s="2">
        <f t="shared" ref="I981:AE981" si="333">$V$24*(1-I$27)</f>
        <v>294.04515763199998</v>
      </c>
      <c r="J981" s="2">
        <f t="shared" si="333"/>
        <v>294.04515763199998</v>
      </c>
      <c r="K981" s="2">
        <f t="shared" si="333"/>
        <v>294.04515763199998</v>
      </c>
      <c r="L981" s="2">
        <f t="shared" si="333"/>
        <v>294.04515763199998</v>
      </c>
      <c r="M981" s="2">
        <f t="shared" si="333"/>
        <v>294.04515763199998</v>
      </c>
      <c r="N981" s="2">
        <f t="shared" si="333"/>
        <v>294.04515763199998</v>
      </c>
      <c r="O981" s="2">
        <f t="shared" si="333"/>
        <v>294.04515763199998</v>
      </c>
      <c r="P981" s="2">
        <f t="shared" si="333"/>
        <v>0</v>
      </c>
      <c r="Q981" s="2">
        <f t="shared" si="333"/>
        <v>0</v>
      </c>
      <c r="R981" s="2">
        <f t="shared" si="333"/>
        <v>0</v>
      </c>
      <c r="S981" s="2">
        <f t="shared" si="333"/>
        <v>0</v>
      </c>
      <c r="T981" s="2">
        <f t="shared" si="333"/>
        <v>0</v>
      </c>
      <c r="U981" s="2">
        <f t="shared" si="333"/>
        <v>0</v>
      </c>
      <c r="V981" s="2">
        <f t="shared" si="333"/>
        <v>0</v>
      </c>
      <c r="W981" s="2">
        <f t="shared" si="333"/>
        <v>0</v>
      </c>
      <c r="X981" s="2">
        <f t="shared" si="333"/>
        <v>0</v>
      </c>
      <c r="Y981" s="2">
        <f t="shared" si="333"/>
        <v>0</v>
      </c>
      <c r="Z981" s="2">
        <f t="shared" si="333"/>
        <v>0</v>
      </c>
      <c r="AA981" s="2">
        <f t="shared" si="333"/>
        <v>0</v>
      </c>
      <c r="AB981" s="2">
        <f t="shared" si="333"/>
        <v>294.04515763199998</v>
      </c>
      <c r="AC981" s="2">
        <f t="shared" si="333"/>
        <v>294.04515763199998</v>
      </c>
      <c r="AD981" s="2">
        <f t="shared" si="333"/>
        <v>294.04515763199998</v>
      </c>
      <c r="AE981" s="2">
        <f t="shared" si="333"/>
        <v>294.04515763199998</v>
      </c>
      <c r="AF981" s="2"/>
    </row>
    <row r="982" spans="1:33">
      <c r="A982" s="20"/>
      <c r="C982" s="5" t="s">
        <v>165</v>
      </c>
      <c r="D982" t="s">
        <v>142</v>
      </c>
      <c r="E982" s="12"/>
      <c r="F982" s="6"/>
      <c r="G982" s="19"/>
      <c r="H982" s="2" t="s">
        <v>860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3">
      <c r="A983" s="20" t="s">
        <v>876</v>
      </c>
      <c r="E983" s="12">
        <f>$F$7</f>
        <v>-5</v>
      </c>
      <c r="F983" s="6" t="s">
        <v>558</v>
      </c>
      <c r="G983" s="19">
        <f>SUM(H983:AE983)/48</f>
        <v>73.51128940800001</v>
      </c>
      <c r="H983" s="2">
        <f t="shared" ref="H983:AE983" si="334">$M$9*($F$7+273)^4*H$27</f>
        <v>0</v>
      </c>
      <c r="I983" s="2">
        <f t="shared" si="334"/>
        <v>0</v>
      </c>
      <c r="J983" s="2">
        <f t="shared" si="334"/>
        <v>0</v>
      </c>
      <c r="K983" s="2">
        <f t="shared" si="334"/>
        <v>0</v>
      </c>
      <c r="L983" s="2">
        <f t="shared" si="334"/>
        <v>0</v>
      </c>
      <c r="M983" s="2">
        <f t="shared" si="334"/>
        <v>0</v>
      </c>
      <c r="N983" s="2">
        <f t="shared" si="334"/>
        <v>0</v>
      </c>
      <c r="O983" s="2">
        <f t="shared" si="334"/>
        <v>0</v>
      </c>
      <c r="P983" s="2">
        <f t="shared" si="334"/>
        <v>294.04515763199998</v>
      </c>
      <c r="Q983" s="2">
        <f t="shared" si="334"/>
        <v>294.04515763199998</v>
      </c>
      <c r="R983" s="2">
        <f t="shared" si="334"/>
        <v>294.04515763199998</v>
      </c>
      <c r="S983" s="2">
        <f t="shared" si="334"/>
        <v>294.04515763199998</v>
      </c>
      <c r="T983" s="2">
        <f t="shared" si="334"/>
        <v>294.04515763199998</v>
      </c>
      <c r="U983" s="2">
        <f t="shared" si="334"/>
        <v>294.04515763199998</v>
      </c>
      <c r="V983" s="2">
        <f t="shared" si="334"/>
        <v>294.04515763199998</v>
      </c>
      <c r="W983" s="2">
        <f t="shared" si="334"/>
        <v>294.04515763199998</v>
      </c>
      <c r="X983" s="2">
        <f t="shared" si="334"/>
        <v>294.04515763199998</v>
      </c>
      <c r="Y983" s="2">
        <f t="shared" si="334"/>
        <v>294.04515763199998</v>
      </c>
      <c r="Z983" s="2">
        <f t="shared" si="334"/>
        <v>294.04515763199998</v>
      </c>
      <c r="AA983" s="2">
        <f t="shared" si="334"/>
        <v>294.04515763199998</v>
      </c>
      <c r="AB983" s="2">
        <f t="shared" si="334"/>
        <v>0</v>
      </c>
      <c r="AC983" s="2">
        <f t="shared" si="334"/>
        <v>0</v>
      </c>
      <c r="AD983" s="2">
        <f t="shared" si="334"/>
        <v>0</v>
      </c>
      <c r="AE983" s="2">
        <f t="shared" si="334"/>
        <v>0</v>
      </c>
      <c r="AF983" s="2"/>
    </row>
    <row r="984" spans="1:33">
      <c r="A984" s="20"/>
      <c r="B984" t="s">
        <v>865</v>
      </c>
      <c r="D984" t="s">
        <v>743</v>
      </c>
      <c r="E984" s="30"/>
      <c r="F984" s="6"/>
      <c r="G984" s="19"/>
      <c r="H984" t="s">
        <v>617</v>
      </c>
      <c r="I984" s="2"/>
      <c r="K984" s="2" t="s">
        <v>860</v>
      </c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3">
      <c r="A985" s="20"/>
      <c r="B985" s="16" t="s">
        <v>724</v>
      </c>
      <c r="E985" s="30"/>
      <c r="F985" s="6"/>
      <c r="G985" s="32">
        <f>G977+G979+G981+G983</f>
        <v>346.98193544153355</v>
      </c>
      <c r="H985" s="3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3">
      <c r="A986" s="39" t="s">
        <v>513</v>
      </c>
      <c r="B986" s="16"/>
      <c r="E986" s="30"/>
      <c r="G986" s="32"/>
      <c r="H986" s="33"/>
      <c r="I986" s="3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3">
      <c r="A987" s="3" t="s">
        <v>733</v>
      </c>
      <c r="E987" s="12"/>
      <c r="F987" s="6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3">
      <c r="A988" s="3" t="s">
        <v>877</v>
      </c>
      <c r="G988" s="19">
        <f>SUM(H988:AE988)/48</f>
        <v>3.2246343858148276</v>
      </c>
      <c r="H988" s="24">
        <f>H$70*H$946*$F$16</f>
        <v>4.5707039982998436</v>
      </c>
      <c r="I988" s="24">
        <f t="shared" ref="I988:AE988" si="335">I$70*I$946*$F$16</f>
        <v>5.9838111122177615</v>
      </c>
      <c r="J988" s="24">
        <f t="shared" si="335"/>
        <v>6.4012118862009721</v>
      </c>
      <c r="K988" s="24">
        <f t="shared" si="335"/>
        <v>6.5909015829159285</v>
      </c>
      <c r="L988" s="24">
        <f t="shared" si="335"/>
        <v>6.6073052652716138</v>
      </c>
      <c r="M988" s="24">
        <f t="shared" si="335"/>
        <v>6.7102732369294031</v>
      </c>
      <c r="N988" s="24">
        <f t="shared" si="335"/>
        <v>6.6814548539323289</v>
      </c>
      <c r="O988" s="24">
        <f t="shared" si="335"/>
        <v>6.8064158320876258</v>
      </c>
      <c r="P988" s="24">
        <f t="shared" si="335"/>
        <v>6.8241767156852866</v>
      </c>
      <c r="Q988" s="24">
        <f t="shared" si="335"/>
        <v>6.7846902538709983</v>
      </c>
      <c r="R988" s="24">
        <f t="shared" si="335"/>
        <v>6.7329482947482377</v>
      </c>
      <c r="S988" s="24">
        <f t="shared" si="335"/>
        <v>6.6973322273958846</v>
      </c>
      <c r="T988" s="24">
        <f t="shared" si="335"/>
        <v>6.6973322273958846</v>
      </c>
      <c r="U988" s="24">
        <f t="shared" si="335"/>
        <v>6.7329482947482377</v>
      </c>
      <c r="V988" s="24">
        <f t="shared" si="335"/>
        <v>6.7846902538709983</v>
      </c>
      <c r="W988" s="24">
        <f t="shared" si="335"/>
        <v>6.8241767156852866</v>
      </c>
      <c r="X988" s="24">
        <f t="shared" si="335"/>
        <v>6.8064158320876258</v>
      </c>
      <c r="Y988" s="24">
        <f t="shared" si="335"/>
        <v>6.6814548539323289</v>
      </c>
      <c r="Z988" s="24">
        <f t="shared" si="335"/>
        <v>6.7102732369294031</v>
      </c>
      <c r="AA988" s="24">
        <f t="shared" si="335"/>
        <v>6.6073052652716138</v>
      </c>
      <c r="AB988" s="24">
        <f t="shared" si="335"/>
        <v>6.5909015829159285</v>
      </c>
      <c r="AC988" s="24">
        <f t="shared" si="335"/>
        <v>6.4012118862009721</v>
      </c>
      <c r="AD988" s="24">
        <f t="shared" si="335"/>
        <v>5.9838111122177615</v>
      </c>
      <c r="AE988" s="24">
        <f t="shared" si="335"/>
        <v>4.5707039982998436</v>
      </c>
      <c r="AF988" s="2"/>
    </row>
    <row r="989" spans="1:33">
      <c r="B989" s="5" t="s">
        <v>146</v>
      </c>
      <c r="D989" t="s">
        <v>167</v>
      </c>
      <c r="H989" t="s">
        <v>866</v>
      </c>
      <c r="J989" s="2"/>
      <c r="K989" s="2"/>
      <c r="L989" t="s">
        <v>168</v>
      </c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3">
      <c r="A990" t="s">
        <v>879</v>
      </c>
      <c r="C990" s="11"/>
      <c r="G990" s="98">
        <f>SUM(H990:AE990)/48</f>
        <v>72.205619590792821</v>
      </c>
      <c r="H990" s="97">
        <f>H$70*(1-($F$16+$F$13)*H$946)</f>
        <v>9.6528108086421582</v>
      </c>
      <c r="I990" s="97">
        <f t="shared" ref="I990:AE990" si="336">I$70*(1-($F$16+$F$13)*I$946)</f>
        <v>39.219641522653298</v>
      </c>
      <c r="J990" s="97">
        <f t="shared" si="336"/>
        <v>69.06410728589627</v>
      </c>
      <c r="K990" s="97">
        <f t="shared" si="336"/>
        <v>97.676418784721648</v>
      </c>
      <c r="L990" s="97">
        <f t="shared" si="336"/>
        <v>124.75666054023709</v>
      </c>
      <c r="M990" s="97">
        <f t="shared" si="336"/>
        <v>149.3265464500048</v>
      </c>
      <c r="N990" s="97">
        <f t="shared" si="336"/>
        <v>171.61422081379953</v>
      </c>
      <c r="O990" s="97">
        <f t="shared" si="336"/>
        <v>190.39238261960099</v>
      </c>
      <c r="P990" s="97">
        <f t="shared" si="336"/>
        <v>206.17827684002387</v>
      </c>
      <c r="Q990" s="97">
        <f t="shared" si="336"/>
        <v>218.22905053999673</v>
      </c>
      <c r="R990" s="97">
        <f t="shared" si="336"/>
        <v>226.27897397470147</v>
      </c>
      <c r="S990" s="97">
        <f t="shared" si="336"/>
        <v>230.54577999874994</v>
      </c>
      <c r="T990" s="97">
        <f t="shared" si="336"/>
        <v>230.54577999874994</v>
      </c>
      <c r="U990" s="97">
        <f t="shared" si="336"/>
        <v>226.27897397470147</v>
      </c>
      <c r="V990" s="97">
        <f t="shared" si="336"/>
        <v>218.22905053999673</v>
      </c>
      <c r="W990" s="97">
        <f t="shared" si="336"/>
        <v>206.17827684002387</v>
      </c>
      <c r="X990" s="97">
        <f t="shared" si="336"/>
        <v>190.39238261960099</v>
      </c>
      <c r="Y990" s="97">
        <f t="shared" si="336"/>
        <v>171.61422081379953</v>
      </c>
      <c r="Z990" s="97">
        <f t="shared" si="336"/>
        <v>149.3265464500048</v>
      </c>
      <c r="AA990" s="97">
        <f t="shared" si="336"/>
        <v>124.75666054023709</v>
      </c>
      <c r="AB990" s="97">
        <f t="shared" si="336"/>
        <v>97.676418784721648</v>
      </c>
      <c r="AC990" s="97">
        <f t="shared" si="336"/>
        <v>69.06410728589627</v>
      </c>
      <c r="AD990" s="97">
        <f t="shared" si="336"/>
        <v>39.219641522653298</v>
      </c>
      <c r="AE990" s="97">
        <f t="shared" si="336"/>
        <v>9.6528108086421582</v>
      </c>
      <c r="AF990" s="28"/>
      <c r="AG990" s="11"/>
    </row>
    <row r="991" spans="1:33">
      <c r="B991" s="24" t="s">
        <v>150</v>
      </c>
      <c r="D991" s="2" t="s">
        <v>149</v>
      </c>
      <c r="E991" s="106" t="s">
        <v>970</v>
      </c>
      <c r="G991" t="s">
        <v>853</v>
      </c>
      <c r="I991" t="s">
        <v>168</v>
      </c>
      <c r="AF991" s="28"/>
      <c r="AG991" s="11"/>
    </row>
    <row r="992" spans="1:33">
      <c r="A992" t="s">
        <v>878</v>
      </c>
      <c r="C992" s="11"/>
      <c r="D992" s="24"/>
      <c r="G992" s="97">
        <f>SUM(H992:AE992)/48</f>
        <v>50.543933713554971</v>
      </c>
      <c r="H992" s="97">
        <f>H990*($V$20*(1-H$27)+$F$15*H$27)</f>
        <v>6.7569675660495108</v>
      </c>
      <c r="I992" s="97">
        <f t="shared" ref="I992:AE992" si="337">I990*($V$20*(1-I$27)+$F$15*I$27)</f>
        <v>27.453749065857306</v>
      </c>
      <c r="J992" s="97">
        <f t="shared" si="337"/>
        <v>48.344875100127389</v>
      </c>
      <c r="K992" s="97">
        <f t="shared" si="337"/>
        <v>68.373493149305148</v>
      </c>
      <c r="L992" s="97">
        <f t="shared" si="337"/>
        <v>87.329662378165963</v>
      </c>
      <c r="M992" s="97">
        <f t="shared" si="337"/>
        <v>104.52858251500335</v>
      </c>
      <c r="N992" s="97">
        <f t="shared" si="337"/>
        <v>120.12995456965966</v>
      </c>
      <c r="O992" s="97">
        <f t="shared" si="337"/>
        <v>133.27466783372068</v>
      </c>
      <c r="P992" s="97">
        <f t="shared" si="337"/>
        <v>144.32479378801671</v>
      </c>
      <c r="Q992" s="97">
        <f t="shared" si="337"/>
        <v>152.76033537799771</v>
      </c>
      <c r="R992" s="97">
        <f t="shared" si="337"/>
        <v>158.39528178229102</v>
      </c>
      <c r="S992" s="97">
        <f t="shared" si="337"/>
        <v>161.38204599912495</v>
      </c>
      <c r="T992" s="97">
        <f t="shared" si="337"/>
        <v>161.38204599912495</v>
      </c>
      <c r="U992" s="97">
        <f t="shared" si="337"/>
        <v>158.39528178229102</v>
      </c>
      <c r="V992" s="97">
        <f t="shared" si="337"/>
        <v>152.76033537799771</v>
      </c>
      <c r="W992" s="97">
        <f t="shared" si="337"/>
        <v>144.32479378801671</v>
      </c>
      <c r="X992" s="97">
        <f t="shared" si="337"/>
        <v>133.27466783372068</v>
      </c>
      <c r="Y992" s="97">
        <f t="shared" si="337"/>
        <v>120.12995456965966</v>
      </c>
      <c r="Z992" s="97">
        <f t="shared" si="337"/>
        <v>104.52858251500335</v>
      </c>
      <c r="AA992" s="97">
        <f t="shared" si="337"/>
        <v>87.329662378165963</v>
      </c>
      <c r="AB992" s="97">
        <f t="shared" si="337"/>
        <v>68.373493149305148</v>
      </c>
      <c r="AC992" s="97">
        <f t="shared" si="337"/>
        <v>48.344875100127389</v>
      </c>
      <c r="AD992" s="97">
        <f t="shared" si="337"/>
        <v>27.453749065857306</v>
      </c>
      <c r="AE992" s="97">
        <f t="shared" si="337"/>
        <v>6.7569675660495108</v>
      </c>
      <c r="AF992" s="28"/>
      <c r="AG992" s="11"/>
    </row>
    <row r="993" spans="1:33">
      <c r="B993" s="24" t="s">
        <v>917</v>
      </c>
      <c r="D993" s="14" t="s">
        <v>151</v>
      </c>
      <c r="G993" t="s">
        <v>888</v>
      </c>
      <c r="I993" s="24" t="s">
        <v>169</v>
      </c>
      <c r="M993" s="2" t="s">
        <v>860</v>
      </c>
      <c r="AF993" s="28"/>
      <c r="AG993" s="11"/>
    </row>
    <row r="994" spans="1:33" ht="18">
      <c r="A994" s="20" t="s">
        <v>881</v>
      </c>
      <c r="G994" s="19">
        <f>SUM(H994:AE994)/48</f>
        <v>34.630419469750244</v>
      </c>
      <c r="H994" s="2">
        <f>H$70*H$27*$F$15*(1-H$946*$F$16)*(1-$H$947*$F$16)</f>
        <v>0</v>
      </c>
      <c r="I994" s="2">
        <f t="shared" ref="I994:AE994" si="338">I$70*I$27*$F$15*(1-I$946*$F$16)*(1-$H$947*$F$16)</f>
        <v>0</v>
      </c>
      <c r="J994" s="2">
        <f t="shared" si="338"/>
        <v>0</v>
      </c>
      <c r="K994" s="2">
        <f t="shared" si="338"/>
        <v>0</v>
      </c>
      <c r="L994" s="2">
        <f t="shared" si="338"/>
        <v>0</v>
      </c>
      <c r="M994" s="2">
        <f t="shared" si="338"/>
        <v>0</v>
      </c>
      <c r="N994" s="2">
        <f t="shared" si="338"/>
        <v>0</v>
      </c>
      <c r="O994" s="2">
        <f t="shared" si="338"/>
        <v>0</v>
      </c>
      <c r="P994" s="2">
        <f t="shared" si="338"/>
        <v>142.88511474704501</v>
      </c>
      <c r="Q994" s="2">
        <f t="shared" si="338"/>
        <v>151.23043787969326</v>
      </c>
      <c r="R994" s="2">
        <f t="shared" si="338"/>
        <v>156.80476697020868</v>
      </c>
      <c r="S994" s="2">
        <f t="shared" si="338"/>
        <v>159.75928795128706</v>
      </c>
      <c r="T994" s="2">
        <f t="shared" si="338"/>
        <v>159.75928795128706</v>
      </c>
      <c r="U994" s="2">
        <f t="shared" si="338"/>
        <v>156.80476697020868</v>
      </c>
      <c r="V994" s="2">
        <f t="shared" si="338"/>
        <v>151.23043787969326</v>
      </c>
      <c r="W994" s="2">
        <f t="shared" si="338"/>
        <v>142.88511474704501</v>
      </c>
      <c r="X994" s="2">
        <f t="shared" si="338"/>
        <v>131.95220787070198</v>
      </c>
      <c r="Y994" s="2">
        <f t="shared" si="338"/>
        <v>118.94549472635073</v>
      </c>
      <c r="Z994" s="2">
        <f t="shared" si="338"/>
        <v>103.51036759934145</v>
      </c>
      <c r="AA994" s="2">
        <f t="shared" si="338"/>
        <v>86.492849255149423</v>
      </c>
      <c r="AB994" s="2">
        <f t="shared" si="338"/>
        <v>0</v>
      </c>
      <c r="AC994" s="2">
        <f t="shared" si="338"/>
        <v>0</v>
      </c>
      <c r="AD994" s="2">
        <f t="shared" si="338"/>
        <v>0</v>
      </c>
      <c r="AE994" s="2">
        <f t="shared" si="338"/>
        <v>0</v>
      </c>
      <c r="AF994" s="2"/>
    </row>
    <row r="995" spans="1:33">
      <c r="B995" s="5" t="s">
        <v>163</v>
      </c>
      <c r="C995" s="11"/>
      <c r="D995" t="s">
        <v>170</v>
      </c>
      <c r="E995" s="12"/>
      <c r="F995" s="18"/>
      <c r="G995" s="2" t="s">
        <v>860</v>
      </c>
      <c r="I995" s="2" t="s">
        <v>867</v>
      </c>
      <c r="K995" s="9"/>
      <c r="AF995" s="2"/>
    </row>
    <row r="996" spans="1:33">
      <c r="A996" s="11" t="s">
        <v>568</v>
      </c>
      <c r="B996" t="s">
        <v>883</v>
      </c>
      <c r="C996" s="11"/>
      <c r="E996" s="12"/>
      <c r="F996" s="18"/>
      <c r="G996" s="2" t="s">
        <v>171</v>
      </c>
      <c r="H996" s="2"/>
      <c r="J996" t="s">
        <v>868</v>
      </c>
      <c r="AF996" s="2"/>
    </row>
    <row r="997" spans="1:33">
      <c r="A997" s="11"/>
      <c r="B997" t="s">
        <v>172</v>
      </c>
      <c r="C997" s="11"/>
      <c r="E997" s="12"/>
      <c r="F997" s="18"/>
      <c r="G997" s="19"/>
      <c r="I997" s="12" t="s">
        <v>858</v>
      </c>
      <c r="K997" s="11"/>
      <c r="AF997" s="2"/>
    </row>
    <row r="998" spans="1:33">
      <c r="A998" s="11"/>
      <c r="B998" s="2" t="s">
        <v>173</v>
      </c>
      <c r="C998" s="11"/>
      <c r="E998" s="12"/>
      <c r="F998" s="18"/>
      <c r="G998" s="19"/>
      <c r="H998" s="2"/>
      <c r="K998" s="11"/>
      <c r="L998" s="12"/>
      <c r="AF998" s="2"/>
    </row>
    <row r="999" spans="1:33" ht="18">
      <c r="A999" s="20" t="s">
        <v>882</v>
      </c>
      <c r="G999" s="19">
        <f>SUM(H999:AE999)/48</f>
        <v>15.507462975812636</v>
      </c>
      <c r="H999" s="2">
        <f>H$70*$V$20*H$28^2*(1-H$946*$F$16)*(1-$H$947*$F$16)</f>
        <v>6.7484492568713428</v>
      </c>
      <c r="I999" s="2">
        <f t="shared" ref="I999:AE999" si="339">I$70*$V$20*I$28^2*(1-I$946*$F$16)*(1-$H$947*$F$16)</f>
        <v>27.244792955440584</v>
      </c>
      <c r="J999" s="2">
        <f t="shared" si="339"/>
        <v>47.91962356162496</v>
      </c>
      <c r="K999" s="2">
        <f t="shared" si="339"/>
        <v>67.737960751609506</v>
      </c>
      <c r="L999" s="2">
        <f t="shared" si="339"/>
        <v>86.492849255149423</v>
      </c>
      <c r="M999" s="2">
        <f t="shared" si="339"/>
        <v>103.51036759934145</v>
      </c>
      <c r="N999" s="2">
        <f t="shared" si="339"/>
        <v>118.94549472635073</v>
      </c>
      <c r="O999" s="2">
        <f t="shared" si="339"/>
        <v>131.95220787070198</v>
      </c>
      <c r="P999" s="2">
        <f t="shared" si="339"/>
        <v>0.35721278686761315</v>
      </c>
      <c r="Q999" s="2">
        <f t="shared" si="339"/>
        <v>0.37807609469923381</v>
      </c>
      <c r="R999" s="2">
        <f t="shared" si="339"/>
        <v>0.39201191742552238</v>
      </c>
      <c r="S999" s="2">
        <f t="shared" si="339"/>
        <v>0.39939821987821833</v>
      </c>
      <c r="T999" s="2">
        <f t="shared" si="339"/>
        <v>0.39939821987821833</v>
      </c>
      <c r="U999" s="2">
        <f t="shared" si="339"/>
        <v>0.39201191742552238</v>
      </c>
      <c r="V999" s="2">
        <f t="shared" si="339"/>
        <v>0.37807609469923381</v>
      </c>
      <c r="W999" s="2">
        <f t="shared" si="339"/>
        <v>0.35721278686761315</v>
      </c>
      <c r="X999" s="2">
        <f t="shared" si="339"/>
        <v>0.32988051967675558</v>
      </c>
      <c r="Y999" s="2">
        <f t="shared" si="339"/>
        <v>0.29736373681587741</v>
      </c>
      <c r="Z999" s="2">
        <f t="shared" si="339"/>
        <v>0.25877591899835412</v>
      </c>
      <c r="AA999" s="2">
        <f t="shared" si="339"/>
        <v>0.21623212313787393</v>
      </c>
      <c r="AB999" s="2">
        <f t="shared" si="339"/>
        <v>67.737960751609506</v>
      </c>
      <c r="AC999" s="2">
        <f t="shared" si="339"/>
        <v>47.91962356162496</v>
      </c>
      <c r="AD999" s="2">
        <f t="shared" si="339"/>
        <v>27.244792955440584</v>
      </c>
      <c r="AE999" s="2">
        <f t="shared" si="339"/>
        <v>6.7484492568713428</v>
      </c>
      <c r="AF999" s="2"/>
    </row>
    <row r="1000" spans="1:33">
      <c r="A1000" s="14"/>
      <c r="B1000" s="5" t="s">
        <v>164</v>
      </c>
      <c r="G1000" s="2"/>
      <c r="H1000" s="2"/>
      <c r="I1000" s="2"/>
      <c r="J1000" s="10"/>
      <c r="K1000" s="9"/>
      <c r="AF1000" s="2"/>
    </row>
    <row r="1001" spans="1:33">
      <c r="A1001" s="11" t="s">
        <v>568</v>
      </c>
      <c r="B1001" t="s">
        <v>726</v>
      </c>
      <c r="C1001" s="11"/>
      <c r="E1001" s="12"/>
      <c r="F1001" s="18"/>
      <c r="G1001" s="2" t="s">
        <v>171</v>
      </c>
      <c r="H1001" s="2"/>
      <c r="J1001" s="11"/>
      <c r="K1001" t="s">
        <v>868</v>
      </c>
      <c r="M1001" s="10"/>
      <c r="N1001" s="10"/>
      <c r="AF1001" s="2"/>
    </row>
    <row r="1002" spans="1:33">
      <c r="A1002" s="11"/>
      <c r="B1002" t="s">
        <v>172</v>
      </c>
      <c r="C1002" s="11"/>
      <c r="E1002" s="12"/>
      <c r="F1002" s="18"/>
      <c r="G1002" s="19"/>
      <c r="H1002" s="2"/>
      <c r="J1002" s="11"/>
      <c r="M1002" s="10"/>
      <c r="N1002" s="10"/>
      <c r="AF1002" s="2"/>
    </row>
    <row r="1003" spans="1:33">
      <c r="A1003" t="s">
        <v>834</v>
      </c>
      <c r="B1003" s="5"/>
      <c r="C1003" s="11"/>
      <c r="D1003" s="5" t="s">
        <v>155</v>
      </c>
      <c r="F1003" t="s">
        <v>174</v>
      </c>
      <c r="G1003" s="97">
        <f>SUM(H1003:AE1003)/48</f>
        <v>0.53729229879363039</v>
      </c>
      <c r="H1003" s="97">
        <f>H992*$H$947*$F$16</f>
        <v>7.1827939966277649E-2</v>
      </c>
      <c r="I1003" s="97">
        <f t="shared" ref="I1003:AE1003" si="340">I992*$H$947*$F$16</f>
        <v>0.29183893817394124</v>
      </c>
      <c r="J1003" s="97">
        <f t="shared" si="340"/>
        <v>0.51391585832331588</v>
      </c>
      <c r="K1003" s="97">
        <f t="shared" si="340"/>
        <v>0.72682414310955423</v>
      </c>
      <c r="L1003" s="97">
        <f t="shared" si="340"/>
        <v>0.92833207874069545</v>
      </c>
      <c r="M1003" s="97">
        <f t="shared" si="340"/>
        <v>1.1111600990024266</v>
      </c>
      <c r="N1003" s="97">
        <f t="shared" si="340"/>
        <v>1.2770058581213484</v>
      </c>
      <c r="O1003" s="97">
        <f t="shared" si="340"/>
        <v>1.4167368344766063</v>
      </c>
      <c r="P1003" s="97">
        <f t="shared" si="340"/>
        <v>1.5342019215746971</v>
      </c>
      <c r="Q1003" s="97">
        <f t="shared" si="340"/>
        <v>1.6238734449297278</v>
      </c>
      <c r="R1003" s="97">
        <f t="shared" si="340"/>
        <v>1.6837740716656662</v>
      </c>
      <c r="S1003" s="97">
        <f t="shared" si="340"/>
        <v>1.7155239829628728</v>
      </c>
      <c r="T1003" s="97">
        <f t="shared" si="340"/>
        <v>1.7155239829628728</v>
      </c>
      <c r="U1003" s="97">
        <f t="shared" si="340"/>
        <v>1.6837740716656662</v>
      </c>
      <c r="V1003" s="97">
        <f t="shared" si="340"/>
        <v>1.6238734449297278</v>
      </c>
      <c r="W1003" s="97">
        <f t="shared" si="340"/>
        <v>1.5342019215746971</v>
      </c>
      <c r="X1003" s="97">
        <f t="shared" si="340"/>
        <v>1.4167368344766063</v>
      </c>
      <c r="Y1003" s="97">
        <f t="shared" si="340"/>
        <v>1.2770058581213484</v>
      </c>
      <c r="Z1003" s="97">
        <f t="shared" si="340"/>
        <v>1.1111600990024266</v>
      </c>
      <c r="AA1003" s="97">
        <f t="shared" si="340"/>
        <v>0.92833207874069545</v>
      </c>
      <c r="AB1003" s="97">
        <f t="shared" si="340"/>
        <v>0.72682414310955423</v>
      </c>
      <c r="AC1003" s="97">
        <f t="shared" si="340"/>
        <v>0.51391585832331588</v>
      </c>
      <c r="AD1003" s="97">
        <f t="shared" si="340"/>
        <v>0.29183893817394124</v>
      </c>
      <c r="AE1003" s="97">
        <f t="shared" si="340"/>
        <v>7.1827939966277649E-2</v>
      </c>
      <c r="AF1003" s="28"/>
      <c r="AG1003" s="11"/>
    </row>
    <row r="1004" spans="1:33">
      <c r="A1004" t="s">
        <v>918</v>
      </c>
      <c r="B1004" s="5"/>
      <c r="C1004" s="11"/>
      <c r="D1004" s="104" t="s">
        <v>175</v>
      </c>
      <c r="G1004" s="97">
        <f>SUM(H1004:AE1004)/48</f>
        <v>0.37610460915554128</v>
      </c>
      <c r="H1004" s="97">
        <f>H1003*($V$20*(1-H$27)+$F$15*H$27)</f>
        <v>5.027955797639435E-2</v>
      </c>
      <c r="I1004" s="97">
        <f t="shared" ref="I1004:AE1004" si="341">I1003*($V$20*(1-I$27)+$F$15*I$27)</f>
        <v>0.20428725672175885</v>
      </c>
      <c r="J1004" s="97">
        <f t="shared" si="341"/>
        <v>0.3597411008263211</v>
      </c>
      <c r="K1004" s="97">
        <f t="shared" si="341"/>
        <v>0.50877690017668797</v>
      </c>
      <c r="L1004" s="97">
        <f t="shared" si="341"/>
        <v>0.64983245511848675</v>
      </c>
      <c r="M1004" s="97">
        <f t="shared" si="341"/>
        <v>0.77781206930169855</v>
      </c>
      <c r="N1004" s="97">
        <f t="shared" si="341"/>
        <v>0.89390410068494375</v>
      </c>
      <c r="O1004" s="97">
        <f t="shared" si="341"/>
        <v>0.99171578413362427</v>
      </c>
      <c r="P1004" s="97">
        <f t="shared" si="341"/>
        <v>1.0739413451022879</v>
      </c>
      <c r="Q1004" s="97">
        <f t="shared" si="341"/>
        <v>1.1367114114508095</v>
      </c>
      <c r="R1004" s="97">
        <f t="shared" si="341"/>
        <v>1.1786418501659663</v>
      </c>
      <c r="S1004" s="97">
        <f t="shared" si="341"/>
        <v>1.2008667880740109</v>
      </c>
      <c r="T1004" s="97">
        <f t="shared" si="341"/>
        <v>1.2008667880740109</v>
      </c>
      <c r="U1004" s="97">
        <f t="shared" si="341"/>
        <v>1.1786418501659663</v>
      </c>
      <c r="V1004" s="97">
        <f t="shared" si="341"/>
        <v>1.1367114114508095</v>
      </c>
      <c r="W1004" s="97">
        <f t="shared" si="341"/>
        <v>1.0739413451022879</v>
      </c>
      <c r="X1004" s="97">
        <f t="shared" si="341"/>
        <v>0.99171578413362427</v>
      </c>
      <c r="Y1004" s="97">
        <f t="shared" si="341"/>
        <v>0.89390410068494375</v>
      </c>
      <c r="Z1004" s="97">
        <f t="shared" si="341"/>
        <v>0.77781206930169855</v>
      </c>
      <c r="AA1004" s="97">
        <f t="shared" si="341"/>
        <v>0.64983245511848675</v>
      </c>
      <c r="AB1004" s="97">
        <f t="shared" si="341"/>
        <v>0.50877690017668797</v>
      </c>
      <c r="AC1004" s="97">
        <f t="shared" si="341"/>
        <v>0.3597411008263211</v>
      </c>
      <c r="AD1004" s="97">
        <f t="shared" si="341"/>
        <v>0.20428725672175885</v>
      </c>
      <c r="AE1004" s="97">
        <f t="shared" si="341"/>
        <v>5.027955797639435E-2</v>
      </c>
      <c r="AF1004" s="28"/>
      <c r="AG1004" s="11"/>
    </row>
    <row r="1005" spans="1:33">
      <c r="A1005" s="20" t="s">
        <v>835</v>
      </c>
      <c r="B1005" s="5"/>
      <c r="C1005" s="11"/>
      <c r="G1005" s="19">
        <f>SUM(H1005:AE1005)/48</f>
        <v>0.37202657926952187</v>
      </c>
      <c r="H1005" s="24">
        <f>H1004*(1-($F$16+$F$13)*$H$947)</f>
        <v>4.9734386406856936E-2</v>
      </c>
      <c r="I1005" s="24">
        <f t="shared" ref="I1005:AE1005" si="342">I1004*(1-($F$16+$F$13)*$H$947)</f>
        <v>0.20207220931748809</v>
      </c>
      <c r="J1005" s="24">
        <f t="shared" si="342"/>
        <v>0.35584049731153528</v>
      </c>
      <c r="K1005" s="24">
        <f t="shared" si="342"/>
        <v>0.50326033017533822</v>
      </c>
      <c r="L1005" s="24">
        <f t="shared" si="342"/>
        <v>0.64278644688469078</v>
      </c>
      <c r="M1005" s="24">
        <f t="shared" si="342"/>
        <v>0.76937840274429892</v>
      </c>
      <c r="N1005" s="24">
        <f t="shared" si="342"/>
        <v>0.88421167057616801</v>
      </c>
      <c r="O1005" s="24">
        <f t="shared" si="342"/>
        <v>0.98096280076760134</v>
      </c>
      <c r="P1005" s="24">
        <f t="shared" si="342"/>
        <v>1.0622968058051163</v>
      </c>
      <c r="Q1005" s="24">
        <f t="shared" si="342"/>
        <v>1.1243862684059429</v>
      </c>
      <c r="R1005" s="24">
        <f t="shared" si="342"/>
        <v>1.1658620634447081</v>
      </c>
      <c r="S1005" s="24">
        <f t="shared" si="342"/>
        <v>1.1878460206287795</v>
      </c>
      <c r="T1005" s="24">
        <f t="shared" si="342"/>
        <v>1.1878460206287795</v>
      </c>
      <c r="U1005" s="24">
        <f t="shared" si="342"/>
        <v>1.1658620634447081</v>
      </c>
      <c r="V1005" s="24">
        <f t="shared" si="342"/>
        <v>1.1243862684059429</v>
      </c>
      <c r="W1005" s="24">
        <f t="shared" si="342"/>
        <v>1.0622968058051163</v>
      </c>
      <c r="X1005" s="24">
        <f t="shared" si="342"/>
        <v>0.98096280076760134</v>
      </c>
      <c r="Y1005" s="24">
        <f t="shared" si="342"/>
        <v>0.88421167057616801</v>
      </c>
      <c r="Z1005" s="24">
        <f t="shared" si="342"/>
        <v>0.76937840274429892</v>
      </c>
      <c r="AA1005" s="24">
        <f t="shared" si="342"/>
        <v>0.64278644688469078</v>
      </c>
      <c r="AB1005" s="24">
        <f t="shared" si="342"/>
        <v>0.50326033017533822</v>
      </c>
      <c r="AC1005" s="24">
        <f t="shared" si="342"/>
        <v>0.35584049731153528</v>
      </c>
      <c r="AD1005" s="24">
        <f t="shared" si="342"/>
        <v>0.20207220931748809</v>
      </c>
      <c r="AE1005" s="24">
        <f t="shared" si="342"/>
        <v>4.9734386406856936E-2</v>
      </c>
      <c r="AF1005" s="28"/>
      <c r="AG1005" s="11"/>
    </row>
    <row r="1006" spans="1:33">
      <c r="A1006" s="20"/>
      <c r="B1006" s="24" t="s">
        <v>176</v>
      </c>
      <c r="C1006" s="11"/>
      <c r="G1006" s="19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  <c r="AF1006" s="28"/>
      <c r="AG1006" s="11"/>
    </row>
    <row r="1007" spans="1:33">
      <c r="A1007" s="100" t="s">
        <v>836</v>
      </c>
      <c r="B1007" s="5"/>
      <c r="C1007" s="11"/>
      <c r="G1007" s="19">
        <f>SUM(H1007:AE1007)/48</f>
        <v>2.760466383345166E-3</v>
      </c>
      <c r="H1007" s="2">
        <f>H1005^2/(H994+H999)</f>
        <v>3.6653001261704717E-4</v>
      </c>
      <c r="I1007" s="2">
        <f t="shared" ref="I1007:AE1007" si="343">I1005^2/(I994+I999)</f>
        <v>1.4987516273378997E-3</v>
      </c>
      <c r="J1007" s="2">
        <f t="shared" si="343"/>
        <v>2.6423926173811322E-3</v>
      </c>
      <c r="K1007" s="2">
        <f t="shared" si="343"/>
        <v>3.738981172712267E-3</v>
      </c>
      <c r="L1007" s="2">
        <f t="shared" si="343"/>
        <v>4.7769777485281153E-3</v>
      </c>
      <c r="M1007" s="2">
        <f t="shared" si="343"/>
        <v>5.7186844210679304E-3</v>
      </c>
      <c r="N1007" s="2">
        <f t="shared" si="343"/>
        <v>6.5730129601108307E-3</v>
      </c>
      <c r="O1007" s="2">
        <f t="shared" si="343"/>
        <v>7.2927011379206978E-3</v>
      </c>
      <c r="P1007" s="2">
        <f t="shared" si="343"/>
        <v>7.8780799157049889E-3</v>
      </c>
      <c r="Q1007" s="2">
        <f t="shared" si="343"/>
        <v>8.3388752217001417E-3</v>
      </c>
      <c r="R1007" s="2">
        <f t="shared" si="343"/>
        <v>8.6467061259006255E-3</v>
      </c>
      <c r="S1007" s="2">
        <f t="shared" si="343"/>
        <v>8.8098760201846434E-3</v>
      </c>
      <c r="T1007" s="2">
        <f t="shared" si="343"/>
        <v>8.8098760201846434E-3</v>
      </c>
      <c r="U1007" s="2">
        <f t="shared" si="343"/>
        <v>8.6467061259006255E-3</v>
      </c>
      <c r="V1007" s="2">
        <f t="shared" si="343"/>
        <v>8.3388752217001417E-3</v>
      </c>
      <c r="W1007" s="2">
        <f t="shared" si="343"/>
        <v>7.8780799157049889E-3</v>
      </c>
      <c r="X1007" s="2">
        <f t="shared" si="343"/>
        <v>7.2745148507937134E-3</v>
      </c>
      <c r="Y1007" s="2">
        <f t="shared" si="343"/>
        <v>6.5566214065943445E-3</v>
      </c>
      <c r="Z1007" s="2">
        <f t="shared" si="343"/>
        <v>5.7044233626612779E-3</v>
      </c>
      <c r="AA1007" s="2">
        <f t="shared" si="343"/>
        <v>4.7650650858135817E-3</v>
      </c>
      <c r="AB1007" s="2">
        <f t="shared" si="343"/>
        <v>3.738981172712267E-3</v>
      </c>
      <c r="AC1007" s="2">
        <f t="shared" si="343"/>
        <v>2.6423926173811322E-3</v>
      </c>
      <c r="AD1007" s="2">
        <f t="shared" si="343"/>
        <v>1.4987516273378997E-3</v>
      </c>
      <c r="AE1007" s="2">
        <f t="shared" si="343"/>
        <v>3.6653001261704717E-4</v>
      </c>
      <c r="AF1007" s="28"/>
      <c r="AG1007" s="11"/>
    </row>
    <row r="1008" spans="1:33" ht="18">
      <c r="A1008" s="100"/>
      <c r="B1008" s="24" t="s">
        <v>177</v>
      </c>
      <c r="C1008" s="11"/>
      <c r="G1008" s="19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8"/>
      <c r="AG1008" s="11"/>
    </row>
    <row r="1009" spans="1:33" ht="18">
      <c r="A1009" s="20" t="s">
        <v>890</v>
      </c>
      <c r="G1009" s="19">
        <f>(SUM(H1009:AE1009)+24*$V$24*(1-$H$947))/48</f>
        <v>215.84522844809953</v>
      </c>
      <c r="H1009" s="2">
        <f>$V$24*(1-H$27)*(1-$H$947)</f>
        <v>287.79363793079938</v>
      </c>
      <c r="I1009" s="2">
        <f t="shared" ref="I1009:AE1009" si="344">$V$24*(1-I$27)*(1-$H$947)</f>
        <v>287.79363793079938</v>
      </c>
      <c r="J1009" s="2">
        <f t="shared" si="344"/>
        <v>287.79363793079938</v>
      </c>
      <c r="K1009" s="2">
        <f t="shared" si="344"/>
        <v>287.79363793079938</v>
      </c>
      <c r="L1009" s="2">
        <f t="shared" si="344"/>
        <v>287.79363793079938</v>
      </c>
      <c r="M1009" s="2">
        <f t="shared" si="344"/>
        <v>287.79363793079938</v>
      </c>
      <c r="N1009" s="2">
        <f t="shared" si="344"/>
        <v>287.79363793079938</v>
      </c>
      <c r="O1009" s="2">
        <f t="shared" si="344"/>
        <v>287.79363793079938</v>
      </c>
      <c r="P1009" s="2">
        <f t="shared" si="344"/>
        <v>0</v>
      </c>
      <c r="Q1009" s="2">
        <f t="shared" si="344"/>
        <v>0</v>
      </c>
      <c r="R1009" s="2">
        <f t="shared" si="344"/>
        <v>0</v>
      </c>
      <c r="S1009" s="2">
        <f t="shared" si="344"/>
        <v>0</v>
      </c>
      <c r="T1009" s="2">
        <f t="shared" si="344"/>
        <v>0</v>
      </c>
      <c r="U1009" s="2">
        <f t="shared" si="344"/>
        <v>0</v>
      </c>
      <c r="V1009" s="2">
        <f t="shared" si="344"/>
        <v>0</v>
      </c>
      <c r="W1009" s="2">
        <f t="shared" si="344"/>
        <v>0</v>
      </c>
      <c r="X1009" s="2">
        <f t="shared" si="344"/>
        <v>0</v>
      </c>
      <c r="Y1009" s="2">
        <f t="shared" si="344"/>
        <v>0</v>
      </c>
      <c r="Z1009" s="2">
        <f t="shared" si="344"/>
        <v>0</v>
      </c>
      <c r="AA1009" s="2">
        <f t="shared" si="344"/>
        <v>0</v>
      </c>
      <c r="AB1009" s="2">
        <f t="shared" si="344"/>
        <v>287.79363793079938</v>
      </c>
      <c r="AC1009" s="2">
        <f t="shared" si="344"/>
        <v>287.79363793079938</v>
      </c>
      <c r="AD1009" s="2">
        <f t="shared" si="344"/>
        <v>287.79363793079938</v>
      </c>
      <c r="AE1009" s="2">
        <f t="shared" si="344"/>
        <v>287.79363793079938</v>
      </c>
      <c r="AF1009" s="2"/>
    </row>
    <row r="1010" spans="1:33">
      <c r="A1010" s="14"/>
      <c r="B1010" s="5" t="s">
        <v>178</v>
      </c>
      <c r="D1010" t="s">
        <v>179</v>
      </c>
      <c r="E1010" s="12"/>
      <c r="F1010" s="6"/>
      <c r="G1010" s="2" t="s">
        <v>860</v>
      </c>
      <c r="I1010" s="2" t="s">
        <v>180</v>
      </c>
      <c r="J1010" s="10"/>
      <c r="K1010" s="9"/>
      <c r="AF1010" s="2"/>
    </row>
    <row r="1011" spans="1:33" ht="18">
      <c r="A1011" s="20" t="s">
        <v>891</v>
      </c>
      <c r="D1011" s="105" t="s">
        <v>892</v>
      </c>
      <c r="E1011">
        <f>$F$7</f>
        <v>-5</v>
      </c>
      <c r="F1011" s="5" t="s">
        <v>893</v>
      </c>
      <c r="G1011" s="19">
        <f>SUM(H1011:AE1011)/48</f>
        <v>71.948409482699844</v>
      </c>
      <c r="H1011" s="2">
        <f t="shared" ref="H1011:AE1011" si="345">$M$9*($F$7+273)^4*H$27*(1-$H$947)</f>
        <v>0</v>
      </c>
      <c r="I1011" s="2">
        <f t="shared" si="345"/>
        <v>0</v>
      </c>
      <c r="J1011" s="2">
        <f t="shared" si="345"/>
        <v>0</v>
      </c>
      <c r="K1011" s="2">
        <f t="shared" si="345"/>
        <v>0</v>
      </c>
      <c r="L1011" s="2">
        <f t="shared" si="345"/>
        <v>0</v>
      </c>
      <c r="M1011" s="2">
        <f t="shared" si="345"/>
        <v>0</v>
      </c>
      <c r="N1011" s="2">
        <f t="shared" si="345"/>
        <v>0</v>
      </c>
      <c r="O1011" s="2">
        <f t="shared" si="345"/>
        <v>0</v>
      </c>
      <c r="P1011" s="2">
        <f t="shared" si="345"/>
        <v>287.79363793079938</v>
      </c>
      <c r="Q1011" s="2">
        <f t="shared" si="345"/>
        <v>287.79363793079938</v>
      </c>
      <c r="R1011" s="2">
        <f t="shared" si="345"/>
        <v>287.79363793079938</v>
      </c>
      <c r="S1011" s="2">
        <f t="shared" si="345"/>
        <v>287.79363793079938</v>
      </c>
      <c r="T1011" s="2">
        <f t="shared" si="345"/>
        <v>287.79363793079938</v>
      </c>
      <c r="U1011" s="2">
        <f t="shared" si="345"/>
        <v>287.79363793079938</v>
      </c>
      <c r="V1011" s="2">
        <f t="shared" si="345"/>
        <v>287.79363793079938</v>
      </c>
      <c r="W1011" s="2">
        <f t="shared" si="345"/>
        <v>287.79363793079938</v>
      </c>
      <c r="X1011" s="2">
        <f t="shared" si="345"/>
        <v>287.79363793079938</v>
      </c>
      <c r="Y1011" s="2">
        <f t="shared" si="345"/>
        <v>287.79363793079938</v>
      </c>
      <c r="Z1011" s="2">
        <f t="shared" si="345"/>
        <v>287.79363793079938</v>
      </c>
      <c r="AA1011" s="2">
        <f t="shared" si="345"/>
        <v>287.79363793079938</v>
      </c>
      <c r="AB1011" s="2">
        <f t="shared" si="345"/>
        <v>0</v>
      </c>
      <c r="AC1011" s="2">
        <f t="shared" si="345"/>
        <v>0</v>
      </c>
      <c r="AD1011" s="2">
        <f t="shared" si="345"/>
        <v>0</v>
      </c>
      <c r="AE1011" s="2">
        <f t="shared" si="345"/>
        <v>0</v>
      </c>
      <c r="AF1011" s="2"/>
    </row>
    <row r="1012" spans="1:33">
      <c r="A1012" s="14"/>
      <c r="B1012" t="s">
        <v>181</v>
      </c>
      <c r="D1012" t="s">
        <v>744</v>
      </c>
      <c r="E1012" s="30"/>
      <c r="F1012" t="s">
        <v>618</v>
      </c>
      <c r="H1012" s="2" t="s">
        <v>860</v>
      </c>
      <c r="I1012" s="2"/>
      <c r="J1012" s="2" t="s">
        <v>182</v>
      </c>
      <c r="K1012" s="9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</row>
    <row r="1013" spans="1:33">
      <c r="A1013" s="20" t="s">
        <v>914</v>
      </c>
      <c r="B1013" s="11"/>
      <c r="C1013" s="11"/>
      <c r="D1013" s="11"/>
      <c r="E1013" s="27"/>
      <c r="F1013" s="6"/>
      <c r="G1013" s="19">
        <f>SUM(H1013:AE1013)/24</f>
        <v>2.5618512323568008</v>
      </c>
      <c r="H1013" s="24">
        <f t="shared" ref="H1013:AE1013" si="346">$M$9*($F$9+273)^4*$F$10*$F$18</f>
        <v>2.5618512323567995</v>
      </c>
      <c r="I1013" s="24">
        <f t="shared" si="346"/>
        <v>2.5618512323567995</v>
      </c>
      <c r="J1013" s="24">
        <f t="shared" si="346"/>
        <v>2.5618512323567995</v>
      </c>
      <c r="K1013" s="24">
        <f t="shared" si="346"/>
        <v>2.5618512323567995</v>
      </c>
      <c r="L1013" s="24">
        <f t="shared" si="346"/>
        <v>2.5618512323567995</v>
      </c>
      <c r="M1013" s="24">
        <f t="shared" si="346"/>
        <v>2.5618512323567995</v>
      </c>
      <c r="N1013" s="24">
        <f t="shared" si="346"/>
        <v>2.5618512323567995</v>
      </c>
      <c r="O1013" s="24">
        <f t="shared" si="346"/>
        <v>2.5618512323567995</v>
      </c>
      <c r="P1013" s="24">
        <f t="shared" si="346"/>
        <v>2.5618512323567995</v>
      </c>
      <c r="Q1013" s="24">
        <f t="shared" si="346"/>
        <v>2.5618512323567995</v>
      </c>
      <c r="R1013" s="24">
        <f t="shared" si="346"/>
        <v>2.5618512323567995</v>
      </c>
      <c r="S1013" s="24">
        <f t="shared" si="346"/>
        <v>2.5618512323567995</v>
      </c>
      <c r="T1013" s="24">
        <f t="shared" si="346"/>
        <v>2.5618512323567995</v>
      </c>
      <c r="U1013" s="24">
        <f t="shared" si="346"/>
        <v>2.5618512323567995</v>
      </c>
      <c r="V1013" s="24">
        <f t="shared" si="346"/>
        <v>2.5618512323567995</v>
      </c>
      <c r="W1013" s="24">
        <f t="shared" si="346"/>
        <v>2.5618512323567995</v>
      </c>
      <c r="X1013" s="24">
        <f t="shared" si="346"/>
        <v>2.5618512323567995</v>
      </c>
      <c r="Y1013" s="24">
        <f t="shared" si="346"/>
        <v>2.5618512323567995</v>
      </c>
      <c r="Z1013" s="24">
        <f t="shared" si="346"/>
        <v>2.5618512323567995</v>
      </c>
      <c r="AA1013" s="24">
        <f t="shared" si="346"/>
        <v>2.5618512323567995</v>
      </c>
      <c r="AB1013" s="24">
        <f t="shared" si="346"/>
        <v>2.5618512323567995</v>
      </c>
      <c r="AC1013" s="24">
        <f t="shared" si="346"/>
        <v>2.5618512323567995</v>
      </c>
      <c r="AD1013" s="24">
        <f t="shared" si="346"/>
        <v>2.5618512323567995</v>
      </c>
      <c r="AE1013" s="24">
        <f t="shared" si="346"/>
        <v>2.5618512323567995</v>
      </c>
      <c r="AF1013" s="28"/>
      <c r="AG1013" s="11"/>
    </row>
    <row r="1014" spans="1:33">
      <c r="A1014" s="20"/>
      <c r="B1014" s="5" t="s">
        <v>923</v>
      </c>
      <c r="C1014" s="11"/>
      <c r="D1014" t="s">
        <v>743</v>
      </c>
      <c r="E1014" s="27"/>
      <c r="F1014" s="6"/>
      <c r="G1014" s="28"/>
      <c r="H1014" t="s">
        <v>717</v>
      </c>
      <c r="I1014" s="29"/>
      <c r="J1014" s="11"/>
      <c r="K1014" s="2" t="s">
        <v>719</v>
      </c>
      <c r="L1014" s="11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11"/>
    </row>
    <row r="1015" spans="1:33">
      <c r="A1015" s="20"/>
      <c r="B1015" s="27" t="s">
        <v>925</v>
      </c>
      <c r="C1015" s="11" t="s">
        <v>924</v>
      </c>
      <c r="E1015" s="27"/>
      <c r="F1015" s="6"/>
      <c r="G1015" s="28"/>
      <c r="I1015" s="29"/>
      <c r="J1015" s="11"/>
      <c r="K1015" s="2"/>
      <c r="L1015" s="11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  <c r="AG1015" s="11"/>
    </row>
    <row r="1016" spans="1:33">
      <c r="A1016" s="20"/>
      <c r="B1016" s="14"/>
      <c r="C1016" t="s">
        <v>926</v>
      </c>
      <c r="E1016" s="27"/>
      <c r="F1016" s="6"/>
      <c r="G1016" s="28"/>
      <c r="I1016" s="29"/>
      <c r="J1016" s="11"/>
      <c r="K1016" s="2"/>
      <c r="L1016" s="11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11"/>
    </row>
    <row r="1017" spans="1:33">
      <c r="A1017" s="3"/>
      <c r="B1017" s="16" t="s">
        <v>741</v>
      </c>
      <c r="E1017" s="12"/>
      <c r="F1017" s="6"/>
      <c r="G1017" s="32">
        <f>G988+G994+G999+G1005+G1007+G1009+G1011+G1013</f>
        <v>344.09279304018673</v>
      </c>
      <c r="H1017" s="2"/>
      <c r="I1017" s="29"/>
      <c r="K1017" s="10"/>
      <c r="L1017" s="3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</row>
    <row r="1018" spans="1:33">
      <c r="A1018" s="20"/>
      <c r="B1018" s="16" t="s">
        <v>725</v>
      </c>
      <c r="E1018" s="30"/>
      <c r="F1018" s="6"/>
      <c r="G1018" s="32">
        <f>G985-G1017</f>
        <v>2.8891424013468168</v>
      </c>
      <c r="H1018" s="33"/>
      <c r="I1018" s="86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</row>
    <row r="1019" spans="1:33">
      <c r="A1019" s="39" t="s">
        <v>513</v>
      </c>
      <c r="B1019" s="16"/>
      <c r="E1019" s="30"/>
      <c r="F1019" s="12"/>
      <c r="G1019" s="32"/>
      <c r="H1019" s="33"/>
      <c r="I1019" s="3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</row>
    <row r="1020" spans="1:33">
      <c r="A1020" s="3" t="s">
        <v>977</v>
      </c>
      <c r="E1020" s="12"/>
      <c r="F1020" s="6"/>
      <c r="G1020" s="87" t="s">
        <v>535</v>
      </c>
      <c r="H1020" s="21"/>
      <c r="I1020" s="2"/>
      <c r="J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</row>
    <row r="1021" spans="1:33">
      <c r="A1021" s="20" t="s">
        <v>935</v>
      </c>
      <c r="B1021" s="11"/>
      <c r="C1021" s="11"/>
      <c r="E1021" s="14" t="s">
        <v>563</v>
      </c>
      <c r="F1021" s="31">
        <f>$F$15</f>
        <v>0.7</v>
      </c>
      <c r="G1021" s="19">
        <f>SUM(H1021:AE1021)/48</f>
        <v>52.846322665026754</v>
      </c>
      <c r="H1021" s="2">
        <f>H$70*$F$15</f>
        <v>10.020450220835597</v>
      </c>
      <c r="I1021" s="2">
        <f t="shared" ref="I1021:AE1021" si="347">I$70*$F$15</f>
        <v>31.726190199980788</v>
      </c>
      <c r="J1021" s="2">
        <f t="shared" si="347"/>
        <v>52.915340386874881</v>
      </c>
      <c r="K1021" s="2">
        <f t="shared" si="347"/>
        <v>73.079396879507115</v>
      </c>
      <c r="L1021" s="2">
        <f t="shared" si="347"/>
        <v>92.047278337569892</v>
      </c>
      <c r="M1021" s="2">
        <f t="shared" si="347"/>
        <v>109.31971760617094</v>
      </c>
      <c r="N1021" s="2">
        <f t="shared" si="347"/>
        <v>124.90051333536734</v>
      </c>
      <c r="O1021" s="2">
        <f t="shared" si="347"/>
        <v>138.13444873783126</v>
      </c>
      <c r="P1021" s="2">
        <f t="shared" si="347"/>
        <v>149.197255963016</v>
      </c>
      <c r="Q1021" s="2">
        <f t="shared" si="347"/>
        <v>157.60460421926157</v>
      </c>
      <c r="R1021" s="2">
        <f t="shared" si="347"/>
        <v>163.20260686474126</v>
      </c>
      <c r="S1021" s="2">
        <f t="shared" si="347"/>
        <v>166.16394120948561</v>
      </c>
      <c r="T1021" s="2">
        <f t="shared" si="347"/>
        <v>166.16394120948561</v>
      </c>
      <c r="U1021" s="2">
        <f t="shared" si="347"/>
        <v>163.20260686474126</v>
      </c>
      <c r="V1021" s="2">
        <f t="shared" si="347"/>
        <v>157.60460421926157</v>
      </c>
      <c r="W1021" s="2">
        <f t="shared" si="347"/>
        <v>149.197255963016</v>
      </c>
      <c r="X1021" s="2">
        <f t="shared" si="347"/>
        <v>138.13444873783126</v>
      </c>
      <c r="Y1021" s="2">
        <f t="shared" si="347"/>
        <v>124.90051333536734</v>
      </c>
      <c r="Z1021" s="2">
        <f t="shared" si="347"/>
        <v>109.31971760617094</v>
      </c>
      <c r="AA1021" s="2">
        <f t="shared" si="347"/>
        <v>92.047278337569892</v>
      </c>
      <c r="AB1021" s="2">
        <f t="shared" si="347"/>
        <v>73.079396879507115</v>
      </c>
      <c r="AC1021" s="2">
        <f t="shared" si="347"/>
        <v>52.915340386874881</v>
      </c>
      <c r="AD1021" s="2">
        <f t="shared" si="347"/>
        <v>31.726190199980788</v>
      </c>
      <c r="AE1021" s="2">
        <f t="shared" si="347"/>
        <v>10.020450220835597</v>
      </c>
      <c r="AF1021" s="28"/>
      <c r="AG1021" s="11"/>
    </row>
    <row r="1022" spans="1:33">
      <c r="A1022" s="3"/>
      <c r="B1022" s="5" t="s">
        <v>183</v>
      </c>
      <c r="C1022" s="11"/>
      <c r="D1022" t="s">
        <v>166</v>
      </c>
      <c r="F1022" s="27"/>
      <c r="G1022" s="2"/>
      <c r="H1022" s="2" t="s">
        <v>1019</v>
      </c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8"/>
      <c r="AG1022" s="11"/>
    </row>
    <row r="1023" spans="1:33">
      <c r="A1023" s="20" t="s">
        <v>936</v>
      </c>
      <c r="B1023" s="11"/>
      <c r="C1023" s="11"/>
      <c r="D1023" s="24" t="s">
        <v>1013</v>
      </c>
      <c r="E1023" s="27"/>
      <c r="F1023" s="6" t="s">
        <v>1049</v>
      </c>
      <c r="G1023" s="19">
        <f>SUM(H1023:AE1023)/24</f>
        <v>294.0451576320001</v>
      </c>
      <c r="H1023" s="2">
        <f t="shared" ref="H1023:AE1023" si="348">$M$9*($F$7+273)^4</f>
        <v>294.04515763199998</v>
      </c>
      <c r="I1023" s="2">
        <f t="shared" si="348"/>
        <v>294.04515763199998</v>
      </c>
      <c r="J1023" s="2">
        <f t="shared" si="348"/>
        <v>294.04515763199998</v>
      </c>
      <c r="K1023" s="2">
        <f t="shared" si="348"/>
        <v>294.04515763199998</v>
      </c>
      <c r="L1023" s="2">
        <f t="shared" si="348"/>
        <v>294.04515763199998</v>
      </c>
      <c r="M1023" s="2">
        <f t="shared" si="348"/>
        <v>294.04515763199998</v>
      </c>
      <c r="N1023" s="2">
        <f t="shared" si="348"/>
        <v>294.04515763199998</v>
      </c>
      <c r="O1023" s="2">
        <f t="shared" si="348"/>
        <v>294.04515763199998</v>
      </c>
      <c r="P1023" s="2">
        <f t="shared" si="348"/>
        <v>294.04515763199998</v>
      </c>
      <c r="Q1023" s="2">
        <f t="shared" si="348"/>
        <v>294.04515763199998</v>
      </c>
      <c r="R1023" s="2">
        <f t="shared" si="348"/>
        <v>294.04515763199998</v>
      </c>
      <c r="S1023" s="2">
        <f t="shared" si="348"/>
        <v>294.04515763199998</v>
      </c>
      <c r="T1023" s="2">
        <f t="shared" si="348"/>
        <v>294.04515763199998</v>
      </c>
      <c r="U1023" s="2">
        <f t="shared" si="348"/>
        <v>294.04515763199998</v>
      </c>
      <c r="V1023" s="2">
        <f t="shared" si="348"/>
        <v>294.04515763199998</v>
      </c>
      <c r="W1023" s="2">
        <f t="shared" si="348"/>
        <v>294.04515763199998</v>
      </c>
      <c r="X1023" s="2">
        <f t="shared" si="348"/>
        <v>294.04515763199998</v>
      </c>
      <c r="Y1023" s="2">
        <f t="shared" si="348"/>
        <v>294.04515763199998</v>
      </c>
      <c r="Z1023" s="2">
        <f t="shared" si="348"/>
        <v>294.04515763199998</v>
      </c>
      <c r="AA1023" s="2">
        <f t="shared" si="348"/>
        <v>294.04515763199998</v>
      </c>
      <c r="AB1023" s="2">
        <f t="shared" si="348"/>
        <v>294.04515763199998</v>
      </c>
      <c r="AC1023" s="2">
        <f t="shared" si="348"/>
        <v>294.04515763199998</v>
      </c>
      <c r="AD1023" s="2">
        <f t="shared" si="348"/>
        <v>294.04515763199998</v>
      </c>
      <c r="AE1023" s="2">
        <f t="shared" si="348"/>
        <v>294.04515763199998</v>
      </c>
      <c r="AF1023" s="28"/>
      <c r="AG1023" s="11"/>
    </row>
    <row r="1024" spans="1:33">
      <c r="A1024" s="20"/>
      <c r="B1024" s="16" t="s">
        <v>729</v>
      </c>
      <c r="C1024" s="11"/>
      <c r="D1024" s="11"/>
      <c r="E1024" s="21"/>
      <c r="F1024" s="21"/>
      <c r="G1024" s="82">
        <f>G1021+G1023</f>
        <v>346.89148029702687</v>
      </c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28"/>
      <c r="AG1024" s="11"/>
    </row>
    <row r="1025" spans="1:33">
      <c r="A1025" s="39" t="s">
        <v>513</v>
      </c>
      <c r="B1025" s="16"/>
      <c r="C1025" s="11"/>
      <c r="D1025" s="11"/>
      <c r="E1025" s="21"/>
      <c r="F1025" s="21"/>
      <c r="G1025" s="82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  <c r="AF1025" s="28"/>
      <c r="AG1025" s="11"/>
    </row>
    <row r="1026" spans="1:33">
      <c r="A1026" s="3" t="s">
        <v>728</v>
      </c>
      <c r="B1026" s="16"/>
      <c r="C1026" s="11"/>
      <c r="D1026" s="11"/>
      <c r="E1026" s="21"/>
      <c r="F1026" s="21"/>
      <c r="G1026" s="82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  <c r="AE1026" s="24"/>
      <c r="AF1026" s="28"/>
      <c r="AG1026" s="11"/>
    </row>
    <row r="1027" spans="1:33">
      <c r="A1027" s="3" t="s">
        <v>877</v>
      </c>
      <c r="G1027" s="19">
        <f>SUM(H1027:AE1027)/48</f>
        <v>3.2246343858148276</v>
      </c>
      <c r="H1027" s="24">
        <f>H$70*H$946*$F$16</f>
        <v>4.5707039982998436</v>
      </c>
      <c r="I1027" s="24">
        <f t="shared" ref="I1027:AE1027" si="349">I$70*I$946*$F$16</f>
        <v>5.9838111122177615</v>
      </c>
      <c r="J1027" s="24">
        <f t="shared" si="349"/>
        <v>6.4012118862009721</v>
      </c>
      <c r="K1027" s="24">
        <f t="shared" si="349"/>
        <v>6.5909015829159285</v>
      </c>
      <c r="L1027" s="24">
        <f t="shared" si="349"/>
        <v>6.6073052652716138</v>
      </c>
      <c r="M1027" s="24">
        <f t="shared" si="349"/>
        <v>6.7102732369294031</v>
      </c>
      <c r="N1027" s="24">
        <f t="shared" si="349"/>
        <v>6.6814548539323289</v>
      </c>
      <c r="O1027" s="24">
        <f t="shared" si="349"/>
        <v>6.8064158320876258</v>
      </c>
      <c r="P1027" s="24">
        <f t="shared" si="349"/>
        <v>6.8241767156852866</v>
      </c>
      <c r="Q1027" s="24">
        <f t="shared" si="349"/>
        <v>6.7846902538709983</v>
      </c>
      <c r="R1027" s="24">
        <f t="shared" si="349"/>
        <v>6.7329482947482377</v>
      </c>
      <c r="S1027" s="24">
        <f t="shared" si="349"/>
        <v>6.6973322273958846</v>
      </c>
      <c r="T1027" s="24">
        <f t="shared" si="349"/>
        <v>6.6973322273958846</v>
      </c>
      <c r="U1027" s="24">
        <f t="shared" si="349"/>
        <v>6.7329482947482377</v>
      </c>
      <c r="V1027" s="24">
        <f t="shared" si="349"/>
        <v>6.7846902538709983</v>
      </c>
      <c r="W1027" s="24">
        <f t="shared" si="349"/>
        <v>6.8241767156852866</v>
      </c>
      <c r="X1027" s="24">
        <f t="shared" si="349"/>
        <v>6.8064158320876258</v>
      </c>
      <c r="Y1027" s="24">
        <f t="shared" si="349"/>
        <v>6.6814548539323289</v>
      </c>
      <c r="Z1027" s="24">
        <f t="shared" si="349"/>
        <v>6.7102732369294031</v>
      </c>
      <c r="AA1027" s="24">
        <f t="shared" si="349"/>
        <v>6.6073052652716138</v>
      </c>
      <c r="AB1027" s="24">
        <f t="shared" si="349"/>
        <v>6.5909015829159285</v>
      </c>
      <c r="AC1027" s="24">
        <f t="shared" si="349"/>
        <v>6.4012118862009721</v>
      </c>
      <c r="AD1027" s="24">
        <f t="shared" si="349"/>
        <v>5.9838111122177615</v>
      </c>
      <c r="AE1027" s="24">
        <f t="shared" si="349"/>
        <v>4.5707039982998436</v>
      </c>
      <c r="AF1027" s="28"/>
      <c r="AG1027" s="11"/>
    </row>
    <row r="1028" spans="1:33">
      <c r="B1028" s="5" t="s">
        <v>146</v>
      </c>
      <c r="D1028" t="s">
        <v>170</v>
      </c>
      <c r="G1028" t="s">
        <v>894</v>
      </c>
      <c r="J1028" s="2"/>
      <c r="K1028" s="2" t="s">
        <v>184</v>
      </c>
      <c r="L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</row>
    <row r="1029" spans="1:33">
      <c r="A1029" t="s">
        <v>879</v>
      </c>
      <c r="C1029" s="11"/>
      <c r="G1029" s="98">
        <f>SUM(H1029:AE1029)/48</f>
        <v>72.205619590792821</v>
      </c>
      <c r="H1029" s="97">
        <f>H$70*(1-($F$16+$F$13)*H$946)</f>
        <v>9.6528108086421582</v>
      </c>
      <c r="I1029" s="97">
        <f t="shared" ref="I1029:AE1029" si="350">I$70*(1-($F$16+$F$13)*I$946)</f>
        <v>39.219641522653298</v>
      </c>
      <c r="J1029" s="97">
        <f t="shared" si="350"/>
        <v>69.06410728589627</v>
      </c>
      <c r="K1029" s="97">
        <f t="shared" si="350"/>
        <v>97.676418784721648</v>
      </c>
      <c r="L1029" s="97">
        <f t="shared" si="350"/>
        <v>124.75666054023709</v>
      </c>
      <c r="M1029" s="97">
        <f t="shared" si="350"/>
        <v>149.3265464500048</v>
      </c>
      <c r="N1029" s="97">
        <f t="shared" si="350"/>
        <v>171.61422081379953</v>
      </c>
      <c r="O1029" s="97">
        <f t="shared" si="350"/>
        <v>190.39238261960099</v>
      </c>
      <c r="P1029" s="97">
        <f t="shared" si="350"/>
        <v>206.17827684002387</v>
      </c>
      <c r="Q1029" s="97">
        <f t="shared" si="350"/>
        <v>218.22905053999673</v>
      </c>
      <c r="R1029" s="97">
        <f t="shared" si="350"/>
        <v>226.27897397470147</v>
      </c>
      <c r="S1029" s="97">
        <f t="shared" si="350"/>
        <v>230.54577999874994</v>
      </c>
      <c r="T1029" s="97">
        <f t="shared" si="350"/>
        <v>230.54577999874994</v>
      </c>
      <c r="U1029" s="97">
        <f t="shared" si="350"/>
        <v>226.27897397470147</v>
      </c>
      <c r="V1029" s="97">
        <f t="shared" si="350"/>
        <v>218.22905053999673</v>
      </c>
      <c r="W1029" s="97">
        <f t="shared" si="350"/>
        <v>206.17827684002387</v>
      </c>
      <c r="X1029" s="97">
        <f t="shared" si="350"/>
        <v>190.39238261960099</v>
      </c>
      <c r="Y1029" s="97">
        <f t="shared" si="350"/>
        <v>171.61422081379953</v>
      </c>
      <c r="Z1029" s="97">
        <f t="shared" si="350"/>
        <v>149.3265464500048</v>
      </c>
      <c r="AA1029" s="97">
        <f t="shared" si="350"/>
        <v>124.75666054023709</v>
      </c>
      <c r="AB1029" s="97">
        <f t="shared" si="350"/>
        <v>97.676418784721648</v>
      </c>
      <c r="AC1029" s="97">
        <f t="shared" si="350"/>
        <v>69.06410728589627</v>
      </c>
      <c r="AD1029" s="97">
        <f t="shared" si="350"/>
        <v>39.219641522653298</v>
      </c>
      <c r="AE1029" s="97">
        <f t="shared" si="350"/>
        <v>9.6528108086421582</v>
      </c>
      <c r="AF1029" s="28"/>
      <c r="AG1029" s="11"/>
    </row>
    <row r="1030" spans="1:33">
      <c r="B1030" s="24" t="s">
        <v>150</v>
      </c>
      <c r="D1030" s="2" t="s">
        <v>149</v>
      </c>
      <c r="E1030" s="24" t="s">
        <v>880</v>
      </c>
      <c r="G1030" t="s">
        <v>853</v>
      </c>
      <c r="I1030" t="s">
        <v>168</v>
      </c>
      <c r="AF1030" s="28"/>
      <c r="AG1030" s="11"/>
    </row>
    <row r="1031" spans="1:33">
      <c r="A1031" t="s">
        <v>895</v>
      </c>
      <c r="C1031" s="11"/>
      <c r="D1031" s="24"/>
      <c r="G1031" s="97">
        <f>SUM(H1031:AE1031)/48</f>
        <v>50.543933713554971</v>
      </c>
      <c r="H1031" s="97">
        <f>H1029*$F$15</f>
        <v>6.7569675660495108</v>
      </c>
      <c r="I1031" s="97">
        <f t="shared" ref="I1031:AE1031" si="351">I1029*$F$15</f>
        <v>27.453749065857306</v>
      </c>
      <c r="J1031" s="97">
        <f t="shared" si="351"/>
        <v>48.344875100127389</v>
      </c>
      <c r="K1031" s="97">
        <f t="shared" si="351"/>
        <v>68.373493149305148</v>
      </c>
      <c r="L1031" s="97">
        <f t="shared" si="351"/>
        <v>87.329662378165963</v>
      </c>
      <c r="M1031" s="97">
        <f t="shared" si="351"/>
        <v>104.52858251500335</v>
      </c>
      <c r="N1031" s="97">
        <f t="shared" si="351"/>
        <v>120.12995456965966</v>
      </c>
      <c r="O1031" s="97">
        <f t="shared" si="351"/>
        <v>133.27466783372068</v>
      </c>
      <c r="P1031" s="97">
        <f t="shared" si="351"/>
        <v>144.32479378801671</v>
      </c>
      <c r="Q1031" s="97">
        <f t="shared" si="351"/>
        <v>152.76033537799771</v>
      </c>
      <c r="R1031" s="97">
        <f t="shared" si="351"/>
        <v>158.39528178229102</v>
      </c>
      <c r="S1031" s="97">
        <f t="shared" si="351"/>
        <v>161.38204599912495</v>
      </c>
      <c r="T1031" s="97">
        <f t="shared" si="351"/>
        <v>161.38204599912495</v>
      </c>
      <c r="U1031" s="97">
        <f t="shared" si="351"/>
        <v>158.39528178229102</v>
      </c>
      <c r="V1031" s="97">
        <f t="shared" si="351"/>
        <v>152.76033537799771</v>
      </c>
      <c r="W1031" s="97">
        <f t="shared" si="351"/>
        <v>144.32479378801671</v>
      </c>
      <c r="X1031" s="97">
        <f t="shared" si="351"/>
        <v>133.27466783372068</v>
      </c>
      <c r="Y1031" s="97">
        <f t="shared" si="351"/>
        <v>120.12995456965966</v>
      </c>
      <c r="Z1031" s="97">
        <f t="shared" si="351"/>
        <v>104.52858251500335</v>
      </c>
      <c r="AA1031" s="97">
        <f t="shared" si="351"/>
        <v>87.329662378165963</v>
      </c>
      <c r="AB1031" s="97">
        <f t="shared" si="351"/>
        <v>68.373493149305148</v>
      </c>
      <c r="AC1031" s="97">
        <f t="shared" si="351"/>
        <v>48.344875100127389</v>
      </c>
      <c r="AD1031" s="97">
        <f t="shared" si="351"/>
        <v>27.453749065857306</v>
      </c>
      <c r="AE1031" s="97">
        <f t="shared" si="351"/>
        <v>6.7569675660495108</v>
      </c>
      <c r="AF1031" s="28"/>
      <c r="AG1031" s="11"/>
    </row>
    <row r="1032" spans="1:33">
      <c r="B1032" s="24" t="s">
        <v>938</v>
      </c>
      <c r="C1032" s="14" t="s">
        <v>897</v>
      </c>
      <c r="D1032" s="24" t="s">
        <v>185</v>
      </c>
      <c r="I1032" s="24"/>
      <c r="AF1032" s="28"/>
      <c r="AG1032" s="11"/>
    </row>
    <row r="1033" spans="1:33">
      <c r="A1033" s="20" t="s">
        <v>896</v>
      </c>
      <c r="B1033" s="11"/>
      <c r="C1033" s="11"/>
      <c r="E1033" s="14" t="s">
        <v>563</v>
      </c>
      <c r="F1033" s="31">
        <f>$F$15</f>
        <v>0.7</v>
      </c>
      <c r="G1033" s="19">
        <f>SUM(H1033:AE1033)/48</f>
        <v>49.995895568785478</v>
      </c>
      <c r="H1033" s="2">
        <f>H1031*(1-($F$16+$F$13)*$H$947)</f>
        <v>6.6837030672839077</v>
      </c>
      <c r="I1033" s="2">
        <f t="shared" ref="I1033:AE1033" si="352">I1031*(1-($F$16+$F$13)*$H$947)</f>
        <v>27.156073348919886</v>
      </c>
      <c r="J1033" s="2">
        <f t="shared" si="352"/>
        <v>47.820680924637607</v>
      </c>
      <c r="K1033" s="2">
        <f t="shared" si="352"/>
        <v>67.632132523333411</v>
      </c>
      <c r="L1033" s="2">
        <f t="shared" si="352"/>
        <v>86.382763657850461</v>
      </c>
      <c r="M1033" s="2">
        <f t="shared" si="352"/>
        <v>103.39519921402088</v>
      </c>
      <c r="N1033" s="2">
        <f t="shared" si="352"/>
        <v>118.82740859437588</v>
      </c>
      <c r="O1033" s="2">
        <f t="shared" si="352"/>
        <v>131.82959626255456</v>
      </c>
      <c r="P1033" s="2">
        <f t="shared" si="352"/>
        <v>142.75990782801051</v>
      </c>
      <c r="Q1033" s="2">
        <f t="shared" si="352"/>
        <v>151.1039844641694</v>
      </c>
      <c r="R1033" s="2">
        <f t="shared" si="352"/>
        <v>156.67783222919203</v>
      </c>
      <c r="S1033" s="2">
        <f t="shared" si="352"/>
        <v>159.63221153650284</v>
      </c>
      <c r="T1033" s="2">
        <f t="shared" si="352"/>
        <v>159.63221153650284</v>
      </c>
      <c r="U1033" s="2">
        <f t="shared" si="352"/>
        <v>156.67783222919203</v>
      </c>
      <c r="V1033" s="2">
        <f t="shared" si="352"/>
        <v>151.1039844641694</v>
      </c>
      <c r="W1033" s="2">
        <f t="shared" si="352"/>
        <v>142.75990782801051</v>
      </c>
      <c r="X1033" s="2">
        <f t="shared" si="352"/>
        <v>131.82959626255456</v>
      </c>
      <c r="Y1033" s="2">
        <f t="shared" si="352"/>
        <v>118.82740859437588</v>
      </c>
      <c r="Z1033" s="2">
        <f t="shared" si="352"/>
        <v>103.39519921402088</v>
      </c>
      <c r="AA1033" s="2">
        <f t="shared" si="352"/>
        <v>86.382763657850461</v>
      </c>
      <c r="AB1033" s="2">
        <f t="shared" si="352"/>
        <v>67.632132523333411</v>
      </c>
      <c r="AC1033" s="2">
        <f t="shared" si="352"/>
        <v>47.820680924637607</v>
      </c>
      <c r="AD1033" s="2">
        <f t="shared" si="352"/>
        <v>27.156073348919886</v>
      </c>
      <c r="AE1033" s="2">
        <f t="shared" si="352"/>
        <v>6.6837030672839077</v>
      </c>
      <c r="AF1033" s="28"/>
      <c r="AG1033" s="11"/>
    </row>
    <row r="1034" spans="1:33">
      <c r="A1034" s="3"/>
      <c r="B1034" s="5" t="s">
        <v>186</v>
      </c>
      <c r="C1034" s="11"/>
      <c r="D1034" t="s">
        <v>154</v>
      </c>
      <c r="F1034" s="27"/>
      <c r="G1034" s="2"/>
      <c r="H1034" s="2" t="s">
        <v>898</v>
      </c>
      <c r="I1034" s="2"/>
      <c r="J1034" s="2" t="s">
        <v>899</v>
      </c>
      <c r="K1034" s="2"/>
      <c r="L1034" t="s">
        <v>265</v>
      </c>
      <c r="M1034" s="2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  <c r="AG1034" s="11"/>
    </row>
    <row r="1035" spans="1:33">
      <c r="A1035" t="s">
        <v>834</v>
      </c>
      <c r="B1035" s="5"/>
      <c r="C1035" s="11"/>
      <c r="D1035" s="5" t="s">
        <v>155</v>
      </c>
      <c r="F1035" t="s">
        <v>187</v>
      </c>
      <c r="G1035" s="97">
        <f>SUM(H1035:AE1035)/48</f>
        <v>0.53729229879363039</v>
      </c>
      <c r="H1035" s="97">
        <f>H1031*$H$947*$F$16</f>
        <v>7.1827939966277649E-2</v>
      </c>
      <c r="I1035" s="97">
        <f t="shared" ref="I1035:AE1035" si="353">I1031*$H$947*$F$16</f>
        <v>0.29183893817394124</v>
      </c>
      <c r="J1035" s="97">
        <f t="shared" si="353"/>
        <v>0.51391585832331588</v>
      </c>
      <c r="K1035" s="97">
        <f t="shared" si="353"/>
        <v>0.72682414310955423</v>
      </c>
      <c r="L1035" s="97">
        <f t="shared" si="353"/>
        <v>0.92833207874069545</v>
      </c>
      <c r="M1035" s="97">
        <f t="shared" si="353"/>
        <v>1.1111600990024266</v>
      </c>
      <c r="N1035" s="97">
        <f t="shared" si="353"/>
        <v>1.2770058581213484</v>
      </c>
      <c r="O1035" s="97">
        <f t="shared" si="353"/>
        <v>1.4167368344766063</v>
      </c>
      <c r="P1035" s="97">
        <f t="shared" si="353"/>
        <v>1.5342019215746971</v>
      </c>
      <c r="Q1035" s="97">
        <f t="shared" si="353"/>
        <v>1.6238734449297278</v>
      </c>
      <c r="R1035" s="97">
        <f t="shared" si="353"/>
        <v>1.6837740716656662</v>
      </c>
      <c r="S1035" s="97">
        <f t="shared" si="353"/>
        <v>1.7155239829628728</v>
      </c>
      <c r="T1035" s="97">
        <f t="shared" si="353"/>
        <v>1.7155239829628728</v>
      </c>
      <c r="U1035" s="97">
        <f t="shared" si="353"/>
        <v>1.6837740716656662</v>
      </c>
      <c r="V1035" s="97">
        <f t="shared" si="353"/>
        <v>1.6238734449297278</v>
      </c>
      <c r="W1035" s="97">
        <f t="shared" si="353"/>
        <v>1.5342019215746971</v>
      </c>
      <c r="X1035" s="97">
        <f t="shared" si="353"/>
        <v>1.4167368344766063</v>
      </c>
      <c r="Y1035" s="97">
        <f t="shared" si="353"/>
        <v>1.2770058581213484</v>
      </c>
      <c r="Z1035" s="97">
        <f t="shared" si="353"/>
        <v>1.1111600990024266</v>
      </c>
      <c r="AA1035" s="97">
        <f t="shared" si="353"/>
        <v>0.92833207874069545</v>
      </c>
      <c r="AB1035" s="97">
        <f t="shared" si="353"/>
        <v>0.72682414310955423</v>
      </c>
      <c r="AC1035" s="97">
        <f t="shared" si="353"/>
        <v>0.51391585832331588</v>
      </c>
      <c r="AD1035" s="97">
        <f t="shared" si="353"/>
        <v>0.29183893817394124</v>
      </c>
      <c r="AE1035" s="97">
        <f t="shared" si="353"/>
        <v>7.1827939966277649E-2</v>
      </c>
      <c r="AF1035" s="28"/>
      <c r="AG1035" s="11"/>
    </row>
    <row r="1036" spans="1:33">
      <c r="A1036" t="s">
        <v>930</v>
      </c>
      <c r="B1036" s="5"/>
      <c r="C1036" s="11"/>
      <c r="D1036" s="5" t="s">
        <v>188</v>
      </c>
      <c r="G1036" s="97">
        <f>SUM(H1036:AE1036)/48</f>
        <v>0.37610460915554128</v>
      </c>
      <c r="H1036" s="97">
        <f>H1035*$F$15</f>
        <v>5.027955797639435E-2</v>
      </c>
      <c r="I1036" s="97">
        <f t="shared" ref="I1036:AE1036" si="354">I1035*$F$15</f>
        <v>0.20428725672175885</v>
      </c>
      <c r="J1036" s="97">
        <f t="shared" si="354"/>
        <v>0.3597411008263211</v>
      </c>
      <c r="K1036" s="97">
        <f t="shared" si="354"/>
        <v>0.50877690017668797</v>
      </c>
      <c r="L1036" s="97">
        <f t="shared" si="354"/>
        <v>0.64983245511848675</v>
      </c>
      <c r="M1036" s="97">
        <f t="shared" si="354"/>
        <v>0.77781206930169855</v>
      </c>
      <c r="N1036" s="97">
        <f t="shared" si="354"/>
        <v>0.89390410068494375</v>
      </c>
      <c r="O1036" s="97">
        <f t="shared" si="354"/>
        <v>0.99171578413362427</v>
      </c>
      <c r="P1036" s="97">
        <f t="shared" si="354"/>
        <v>1.0739413451022879</v>
      </c>
      <c r="Q1036" s="97">
        <f t="shared" si="354"/>
        <v>1.1367114114508095</v>
      </c>
      <c r="R1036" s="97">
        <f t="shared" si="354"/>
        <v>1.1786418501659663</v>
      </c>
      <c r="S1036" s="97">
        <f t="shared" si="354"/>
        <v>1.2008667880740109</v>
      </c>
      <c r="T1036" s="97">
        <f t="shared" si="354"/>
        <v>1.2008667880740109</v>
      </c>
      <c r="U1036" s="97">
        <f t="shared" si="354"/>
        <v>1.1786418501659663</v>
      </c>
      <c r="V1036" s="97">
        <f t="shared" si="354"/>
        <v>1.1367114114508095</v>
      </c>
      <c r="W1036" s="97">
        <f t="shared" si="354"/>
        <v>1.0739413451022879</v>
      </c>
      <c r="X1036" s="97">
        <f t="shared" si="354"/>
        <v>0.99171578413362427</v>
      </c>
      <c r="Y1036" s="97">
        <f t="shared" si="354"/>
        <v>0.89390410068494375</v>
      </c>
      <c r="Z1036" s="97">
        <f t="shared" si="354"/>
        <v>0.77781206930169855</v>
      </c>
      <c r="AA1036" s="97">
        <f t="shared" si="354"/>
        <v>0.64983245511848675</v>
      </c>
      <c r="AB1036" s="97">
        <f t="shared" si="354"/>
        <v>0.50877690017668797</v>
      </c>
      <c r="AC1036" s="97">
        <f t="shared" si="354"/>
        <v>0.3597411008263211</v>
      </c>
      <c r="AD1036" s="97">
        <f t="shared" si="354"/>
        <v>0.20428725672175885</v>
      </c>
      <c r="AE1036" s="97">
        <f t="shared" si="354"/>
        <v>5.027955797639435E-2</v>
      </c>
      <c r="AF1036" s="28"/>
      <c r="AG1036" s="11"/>
    </row>
    <row r="1037" spans="1:33">
      <c r="A1037" s="20" t="s">
        <v>835</v>
      </c>
      <c r="B1037" s="5"/>
      <c r="C1037" s="11"/>
      <c r="G1037" s="19">
        <f>SUM(H1037:AE1037)/48</f>
        <v>0.37202657926952187</v>
      </c>
      <c r="H1037" s="24">
        <f>H1036*(1-($F$16+$F$13)*$H$947)</f>
        <v>4.9734386406856936E-2</v>
      </c>
      <c r="I1037" s="24">
        <f t="shared" ref="I1037:AE1037" si="355">I1036*(1-($F$16+$F$13)*$H$947)</f>
        <v>0.20207220931748809</v>
      </c>
      <c r="J1037" s="24">
        <f t="shared" si="355"/>
        <v>0.35584049731153528</v>
      </c>
      <c r="K1037" s="24">
        <f t="shared" si="355"/>
        <v>0.50326033017533822</v>
      </c>
      <c r="L1037" s="24">
        <f t="shared" si="355"/>
        <v>0.64278644688469078</v>
      </c>
      <c r="M1037" s="24">
        <f t="shared" si="355"/>
        <v>0.76937840274429892</v>
      </c>
      <c r="N1037" s="24">
        <f t="shared" si="355"/>
        <v>0.88421167057616801</v>
      </c>
      <c r="O1037" s="24">
        <f t="shared" si="355"/>
        <v>0.98096280076760134</v>
      </c>
      <c r="P1037" s="24">
        <f t="shared" si="355"/>
        <v>1.0622968058051163</v>
      </c>
      <c r="Q1037" s="24">
        <f t="shared" si="355"/>
        <v>1.1243862684059429</v>
      </c>
      <c r="R1037" s="24">
        <f t="shared" si="355"/>
        <v>1.1658620634447081</v>
      </c>
      <c r="S1037" s="24">
        <f t="shared" si="355"/>
        <v>1.1878460206287795</v>
      </c>
      <c r="T1037" s="24">
        <f t="shared" si="355"/>
        <v>1.1878460206287795</v>
      </c>
      <c r="U1037" s="24">
        <f t="shared" si="355"/>
        <v>1.1658620634447081</v>
      </c>
      <c r="V1037" s="24">
        <f t="shared" si="355"/>
        <v>1.1243862684059429</v>
      </c>
      <c r="W1037" s="24">
        <f t="shared" si="355"/>
        <v>1.0622968058051163</v>
      </c>
      <c r="X1037" s="24">
        <f t="shared" si="355"/>
        <v>0.98096280076760134</v>
      </c>
      <c r="Y1037" s="24">
        <f t="shared" si="355"/>
        <v>0.88421167057616801</v>
      </c>
      <c r="Z1037" s="24">
        <f t="shared" si="355"/>
        <v>0.76937840274429892</v>
      </c>
      <c r="AA1037" s="24">
        <f t="shared" si="355"/>
        <v>0.64278644688469078</v>
      </c>
      <c r="AB1037" s="24">
        <f t="shared" si="355"/>
        <v>0.50326033017533822</v>
      </c>
      <c r="AC1037" s="24">
        <f t="shared" si="355"/>
        <v>0.35584049731153528</v>
      </c>
      <c r="AD1037" s="24">
        <f t="shared" si="355"/>
        <v>0.20207220931748809</v>
      </c>
      <c r="AE1037" s="24">
        <f t="shared" si="355"/>
        <v>4.9734386406856936E-2</v>
      </c>
      <c r="AF1037" s="28"/>
      <c r="AG1037" s="11"/>
    </row>
    <row r="1038" spans="1:33">
      <c r="A1038" s="20"/>
      <c r="B1038" s="24" t="s">
        <v>189</v>
      </c>
      <c r="C1038" s="11"/>
      <c r="D1038" t="s">
        <v>154</v>
      </c>
      <c r="G1038" s="27"/>
      <c r="H1038" s="24" t="s">
        <v>900</v>
      </c>
      <c r="K1038" t="s">
        <v>853</v>
      </c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8"/>
      <c r="AG1038" s="11"/>
    </row>
    <row r="1039" spans="1:33">
      <c r="A1039" s="100" t="s">
        <v>836</v>
      </c>
      <c r="B1039" s="5"/>
      <c r="C1039" s="11"/>
      <c r="G1039" s="19">
        <f>SUM(H1039:AE1039)/48</f>
        <v>2.7683027598248105E-3</v>
      </c>
      <c r="H1039" s="2">
        <f>H1037^2/H1033</f>
        <v>3.7008065235185998E-4</v>
      </c>
      <c r="I1039" s="2">
        <f t="shared" ref="I1039:AE1039" si="356">I1037^2/I1033</f>
        <v>1.5036480883593884E-3</v>
      </c>
      <c r="J1039" s="2">
        <f t="shared" si="356"/>
        <v>2.6478598187773569E-3</v>
      </c>
      <c r="K1039" s="2">
        <f t="shared" si="356"/>
        <v>3.7448317904335005E-3</v>
      </c>
      <c r="L1039" s="2">
        <f t="shared" si="356"/>
        <v>4.783065495972889E-3</v>
      </c>
      <c r="M1039" s="2">
        <f t="shared" si="356"/>
        <v>5.7250542685650958E-3</v>
      </c>
      <c r="N1039" s="2">
        <f t="shared" si="356"/>
        <v>6.5795449688877752E-3</v>
      </c>
      <c r="O1039" s="2">
        <f t="shared" si="356"/>
        <v>7.2994839077964255E-3</v>
      </c>
      <c r="P1039" s="2">
        <f t="shared" si="356"/>
        <v>7.9047018227503939E-3</v>
      </c>
      <c r="Q1039" s="2">
        <f t="shared" si="356"/>
        <v>8.3667183566534329E-3</v>
      </c>
      <c r="R1039" s="2">
        <f t="shared" si="356"/>
        <v>8.6753456544588423E-3</v>
      </c>
      <c r="S1039" s="2">
        <f t="shared" si="356"/>
        <v>8.8389314107884843E-3</v>
      </c>
      <c r="T1039" s="2">
        <f t="shared" si="356"/>
        <v>8.8389314107884843E-3</v>
      </c>
      <c r="U1039" s="2">
        <f t="shared" si="356"/>
        <v>8.6753456544588423E-3</v>
      </c>
      <c r="V1039" s="2">
        <f t="shared" si="356"/>
        <v>8.3667183566534329E-3</v>
      </c>
      <c r="W1039" s="2">
        <f t="shared" si="356"/>
        <v>7.9047018227503939E-3</v>
      </c>
      <c r="X1039" s="2">
        <f t="shared" si="356"/>
        <v>7.2994839077964255E-3</v>
      </c>
      <c r="Y1039" s="2">
        <f t="shared" si="356"/>
        <v>6.5795449688877752E-3</v>
      </c>
      <c r="Z1039" s="2">
        <f t="shared" si="356"/>
        <v>5.7250542685650958E-3</v>
      </c>
      <c r="AA1039" s="2">
        <f t="shared" si="356"/>
        <v>4.783065495972889E-3</v>
      </c>
      <c r="AB1039" s="2">
        <f t="shared" si="356"/>
        <v>3.7448317904335005E-3</v>
      </c>
      <c r="AC1039" s="2">
        <f t="shared" si="356"/>
        <v>2.6478598187773569E-3</v>
      </c>
      <c r="AD1039" s="2">
        <f t="shared" si="356"/>
        <v>1.5036480883593884E-3</v>
      </c>
      <c r="AE1039" s="2">
        <f t="shared" si="356"/>
        <v>3.7008065235185998E-4</v>
      </c>
      <c r="AF1039" s="28"/>
      <c r="AG1039" s="11"/>
    </row>
    <row r="1040" spans="1:33">
      <c r="A1040" s="100"/>
      <c r="B1040" s="24" t="s">
        <v>190</v>
      </c>
      <c r="C1040" s="11"/>
      <c r="G1040" s="19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8"/>
      <c r="AG1040" s="11"/>
    </row>
    <row r="1041" spans="1:33">
      <c r="A1041" s="20" t="s">
        <v>901</v>
      </c>
      <c r="B1041" s="11"/>
      <c r="C1041" s="11"/>
      <c r="D1041" s="24"/>
      <c r="E1041" s="27"/>
      <c r="F1041" s="6"/>
      <c r="G1041" s="19">
        <f>SUM(H1041:AE1041)/24</f>
        <v>287.79363793079938</v>
      </c>
      <c r="H1041" s="2">
        <f t="shared" ref="H1041:AE1041" si="357">$M$9*($F$7+273)^4*(1-$H$947)</f>
        <v>287.79363793079938</v>
      </c>
      <c r="I1041" s="2">
        <f t="shared" si="357"/>
        <v>287.79363793079938</v>
      </c>
      <c r="J1041" s="2">
        <f t="shared" si="357"/>
        <v>287.79363793079938</v>
      </c>
      <c r="K1041" s="2">
        <f t="shared" si="357"/>
        <v>287.79363793079938</v>
      </c>
      <c r="L1041" s="2">
        <f t="shared" si="357"/>
        <v>287.79363793079938</v>
      </c>
      <c r="M1041" s="2">
        <f t="shared" si="357"/>
        <v>287.79363793079938</v>
      </c>
      <c r="N1041" s="2">
        <f t="shared" si="357"/>
        <v>287.79363793079938</v>
      </c>
      <c r="O1041" s="2">
        <f t="shared" si="357"/>
        <v>287.79363793079938</v>
      </c>
      <c r="P1041" s="2">
        <f t="shared" si="357"/>
        <v>287.79363793079938</v>
      </c>
      <c r="Q1041" s="2">
        <f t="shared" si="357"/>
        <v>287.79363793079938</v>
      </c>
      <c r="R1041" s="2">
        <f t="shared" si="357"/>
        <v>287.79363793079938</v>
      </c>
      <c r="S1041" s="2">
        <f t="shared" si="357"/>
        <v>287.79363793079938</v>
      </c>
      <c r="T1041" s="2">
        <f t="shared" si="357"/>
        <v>287.79363793079938</v>
      </c>
      <c r="U1041" s="2">
        <f t="shared" si="357"/>
        <v>287.79363793079938</v>
      </c>
      <c r="V1041" s="2">
        <f t="shared" si="357"/>
        <v>287.79363793079938</v>
      </c>
      <c r="W1041" s="2">
        <f t="shared" si="357"/>
        <v>287.79363793079938</v>
      </c>
      <c r="X1041" s="2">
        <f t="shared" si="357"/>
        <v>287.79363793079938</v>
      </c>
      <c r="Y1041" s="2">
        <f t="shared" si="357"/>
        <v>287.79363793079938</v>
      </c>
      <c r="Z1041" s="2">
        <f t="shared" si="357"/>
        <v>287.79363793079938</v>
      </c>
      <c r="AA1041" s="2">
        <f t="shared" si="357"/>
        <v>287.79363793079938</v>
      </c>
      <c r="AB1041" s="2">
        <f t="shared" si="357"/>
        <v>287.79363793079938</v>
      </c>
      <c r="AC1041" s="2">
        <f t="shared" si="357"/>
        <v>287.79363793079938</v>
      </c>
      <c r="AD1041" s="2">
        <f t="shared" si="357"/>
        <v>287.79363793079938</v>
      </c>
      <c r="AE1041" s="2">
        <f t="shared" si="357"/>
        <v>287.79363793079938</v>
      </c>
      <c r="AF1041" s="28"/>
      <c r="AG1041" s="11"/>
    </row>
    <row r="1042" spans="1:33">
      <c r="A1042" s="14"/>
      <c r="B1042" s="5" t="s">
        <v>191</v>
      </c>
      <c r="D1042" t="s">
        <v>1056</v>
      </c>
      <c r="E1042" s="12"/>
      <c r="F1042" s="6"/>
      <c r="G1042" s="2"/>
      <c r="H1042" s="2" t="s">
        <v>9</v>
      </c>
      <c r="J1042" s="10"/>
      <c r="K1042" s="9"/>
      <c r="AF1042" s="2"/>
    </row>
    <row r="1043" spans="1:33">
      <c r="A1043" s="20" t="s">
        <v>914</v>
      </c>
      <c r="B1043" s="11"/>
      <c r="C1043" s="11"/>
      <c r="D1043" s="11"/>
      <c r="E1043" s="27"/>
      <c r="F1043" s="6"/>
      <c r="G1043" s="19">
        <f>SUM(H1043:AE1043)/24</f>
        <v>2.5618512323568008</v>
      </c>
      <c r="H1043" s="24">
        <f t="shared" ref="H1043:AE1043" si="358">$M$9*($F$9+273)^4*$F$10*$F$18</f>
        <v>2.5618512323567995</v>
      </c>
      <c r="I1043" s="24">
        <f t="shared" si="358"/>
        <v>2.5618512323567995</v>
      </c>
      <c r="J1043" s="24">
        <f t="shared" si="358"/>
        <v>2.5618512323567995</v>
      </c>
      <c r="K1043" s="24">
        <f t="shared" si="358"/>
        <v>2.5618512323567995</v>
      </c>
      <c r="L1043" s="24">
        <f t="shared" si="358"/>
        <v>2.5618512323567995</v>
      </c>
      <c r="M1043" s="24">
        <f t="shared" si="358"/>
        <v>2.5618512323567995</v>
      </c>
      <c r="N1043" s="24">
        <f t="shared" si="358"/>
        <v>2.5618512323567995</v>
      </c>
      <c r="O1043" s="24">
        <f t="shared" si="358"/>
        <v>2.5618512323567995</v>
      </c>
      <c r="P1043" s="24">
        <f t="shared" si="358"/>
        <v>2.5618512323567995</v>
      </c>
      <c r="Q1043" s="24">
        <f t="shared" si="358"/>
        <v>2.5618512323567995</v>
      </c>
      <c r="R1043" s="24">
        <f t="shared" si="358"/>
        <v>2.5618512323567995</v>
      </c>
      <c r="S1043" s="24">
        <f t="shared" si="358"/>
        <v>2.5618512323567995</v>
      </c>
      <c r="T1043" s="24">
        <f t="shared" si="358"/>
        <v>2.5618512323567995</v>
      </c>
      <c r="U1043" s="24">
        <f t="shared" si="358"/>
        <v>2.5618512323567995</v>
      </c>
      <c r="V1043" s="24">
        <f t="shared" si="358"/>
        <v>2.5618512323567995</v>
      </c>
      <c r="W1043" s="24">
        <f t="shared" si="358"/>
        <v>2.5618512323567995</v>
      </c>
      <c r="X1043" s="24">
        <f t="shared" si="358"/>
        <v>2.5618512323567995</v>
      </c>
      <c r="Y1043" s="24">
        <f t="shared" si="358"/>
        <v>2.5618512323567995</v>
      </c>
      <c r="Z1043" s="24">
        <f t="shared" si="358"/>
        <v>2.5618512323567995</v>
      </c>
      <c r="AA1043" s="24">
        <f t="shared" si="358"/>
        <v>2.5618512323567995</v>
      </c>
      <c r="AB1043" s="24">
        <f t="shared" si="358"/>
        <v>2.5618512323567995</v>
      </c>
      <c r="AC1043" s="24">
        <f t="shared" si="358"/>
        <v>2.5618512323567995</v>
      </c>
      <c r="AD1043" s="24">
        <f t="shared" si="358"/>
        <v>2.5618512323567995</v>
      </c>
      <c r="AE1043" s="24">
        <f t="shared" si="358"/>
        <v>2.5618512323567995</v>
      </c>
      <c r="AF1043" s="28"/>
      <c r="AG1043" s="11"/>
    </row>
    <row r="1044" spans="1:33">
      <c r="A1044" s="20"/>
      <c r="B1044" s="5" t="s">
        <v>923</v>
      </c>
      <c r="C1044" s="11"/>
      <c r="D1044" t="s">
        <v>743</v>
      </c>
      <c r="E1044" s="27"/>
      <c r="F1044" s="6"/>
      <c r="G1044" s="28"/>
      <c r="H1044" t="s">
        <v>717</v>
      </c>
      <c r="I1044" s="29"/>
      <c r="J1044" s="11"/>
      <c r="K1044" s="2" t="s">
        <v>719</v>
      </c>
      <c r="L1044" s="11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11"/>
    </row>
    <row r="1045" spans="1:33">
      <c r="A1045" s="20"/>
      <c r="B1045" s="27" t="s">
        <v>925</v>
      </c>
      <c r="C1045" s="11" t="s">
        <v>924</v>
      </c>
      <c r="E1045" s="27"/>
      <c r="F1045" s="6"/>
      <c r="G1045" s="28"/>
      <c r="I1045" s="29"/>
      <c r="J1045" s="11"/>
      <c r="K1045" s="2"/>
      <c r="L1045" s="11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11"/>
    </row>
    <row r="1046" spans="1:33">
      <c r="A1046" s="20"/>
      <c r="B1046" s="14"/>
      <c r="C1046" t="s">
        <v>926</v>
      </c>
      <c r="E1046" s="27"/>
      <c r="F1046" s="6"/>
      <c r="G1046" s="28"/>
      <c r="I1046" s="29"/>
      <c r="J1046" s="11"/>
      <c r="K1046" s="2"/>
      <c r="L1046" s="11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  <c r="AG1046" s="11"/>
    </row>
    <row r="1047" spans="1:33">
      <c r="A1047" s="20"/>
      <c r="B1047" s="16" t="s">
        <v>742</v>
      </c>
      <c r="C1047" s="11"/>
      <c r="D1047" s="11"/>
      <c r="E1047" s="21"/>
      <c r="F1047" s="21"/>
      <c r="G1047" s="82">
        <f>G1027+G1033+G1037+G1039+G1041+G1043</f>
        <v>343.95081399978579</v>
      </c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  <c r="AE1047" s="24"/>
      <c r="AF1047" s="28"/>
      <c r="AG1047" s="11"/>
    </row>
    <row r="1048" spans="1:33">
      <c r="A1048" s="20"/>
      <c r="B1048" s="16" t="s">
        <v>730</v>
      </c>
      <c r="C1048" s="11"/>
      <c r="D1048" s="11"/>
      <c r="E1048" s="21"/>
      <c r="F1048" s="21"/>
      <c r="G1048" s="82">
        <f>G1024-G1047</f>
        <v>2.94066629724108</v>
      </c>
      <c r="H1048" s="24"/>
      <c r="I1048" s="32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  <c r="AE1048" s="24"/>
      <c r="AF1048" s="28"/>
      <c r="AG1048" s="11"/>
    </row>
    <row r="1049" spans="1:33">
      <c r="A1049" s="20"/>
      <c r="B1049" s="16"/>
      <c r="C1049" s="11"/>
      <c r="D1049" s="11"/>
      <c r="E1049" s="21"/>
      <c r="F1049" s="21"/>
      <c r="G1049" s="82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8"/>
      <c r="AG1049" s="11"/>
    </row>
    <row r="1050" spans="1:33">
      <c r="A1050" s="20"/>
      <c r="B1050" s="11"/>
      <c r="C1050" s="11"/>
      <c r="D1050" s="11"/>
      <c r="E1050" s="27"/>
      <c r="F1050" s="6"/>
      <c r="G1050" s="19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  <c r="AE1050" s="24"/>
      <c r="AF1050" s="28"/>
      <c r="AG1050" s="11"/>
    </row>
    <row r="1051" spans="1:33" ht="18.75">
      <c r="A1051" s="85" t="s">
        <v>514</v>
      </c>
      <c r="B1051" s="30" t="s">
        <v>609</v>
      </c>
      <c r="H1051" s="4" t="s">
        <v>484</v>
      </c>
      <c r="I1051" s="4" t="s">
        <v>486</v>
      </c>
      <c r="J1051" s="4" t="s">
        <v>485</v>
      </c>
      <c r="K1051" s="4" t="s">
        <v>487</v>
      </c>
      <c r="L1051" s="4" t="s">
        <v>488</v>
      </c>
      <c r="M1051" s="4" t="s">
        <v>489</v>
      </c>
      <c r="N1051" s="4" t="s">
        <v>490</v>
      </c>
      <c r="O1051" s="4" t="s">
        <v>491</v>
      </c>
      <c r="P1051" s="4" t="s">
        <v>494</v>
      </c>
      <c r="Q1051" s="4" t="s">
        <v>492</v>
      </c>
      <c r="R1051" s="4" t="s">
        <v>495</v>
      </c>
      <c r="S1051" s="4" t="s">
        <v>493</v>
      </c>
      <c r="T1051" s="4" t="s">
        <v>515</v>
      </c>
      <c r="U1051" s="4" t="s">
        <v>517</v>
      </c>
      <c r="V1051" s="4" t="s">
        <v>518</v>
      </c>
      <c r="W1051" s="4" t="s">
        <v>516</v>
      </c>
      <c r="X1051" s="4" t="s">
        <v>519</v>
      </c>
      <c r="Y1051" s="4" t="s">
        <v>520</v>
      </c>
      <c r="Z1051" s="4" t="s">
        <v>521</v>
      </c>
      <c r="AA1051" s="4" t="s">
        <v>522</v>
      </c>
      <c r="AB1051" s="4" t="s">
        <v>523</v>
      </c>
      <c r="AC1051" s="4" t="s">
        <v>524</v>
      </c>
      <c r="AD1051" s="4" t="s">
        <v>525</v>
      </c>
      <c r="AE1051" s="4" t="s">
        <v>526</v>
      </c>
      <c r="AF1051" s="2"/>
    </row>
    <row r="1052" spans="1:33">
      <c r="A1052" s="3" t="s">
        <v>722</v>
      </c>
      <c r="G1052" t="s">
        <v>535</v>
      </c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2"/>
    </row>
    <row r="1053" spans="1:33">
      <c r="A1053" t="s">
        <v>561</v>
      </c>
      <c r="B1053" s="11"/>
      <c r="C1053" s="11"/>
      <c r="D1053" s="5" t="s">
        <v>192</v>
      </c>
      <c r="E1053" s="12"/>
      <c r="F1053" s="6"/>
      <c r="G1053" s="2">
        <f>SUM(H1053:AE1053)/48</f>
        <v>37.763934013669378</v>
      </c>
      <c r="H1053" s="2">
        <f>H$71</f>
        <v>6.441811894323469</v>
      </c>
      <c r="I1053" s="2">
        <f t="shared" ref="I1053:AE1053" si="359">I$71</f>
        <v>21.949015597270865</v>
      </c>
      <c r="J1053" s="2">
        <f t="shared" si="359"/>
        <v>37.214896961261807</v>
      </c>
      <c r="K1053" s="2">
        <f t="shared" si="359"/>
        <v>51.999310534199267</v>
      </c>
      <c r="L1053" s="2">
        <f t="shared" si="359"/>
        <v>65.586101688677175</v>
      </c>
      <c r="M1053" s="2">
        <f t="shared" si="359"/>
        <v>78.213638292206937</v>
      </c>
      <c r="N1053" s="2">
        <f t="shared" si="359"/>
        <v>89.406077657605564</v>
      </c>
      <c r="O1053" s="2">
        <f t="shared" si="359"/>
        <v>98.926848606676415</v>
      </c>
      <c r="P1053" s="2">
        <f t="shared" si="359"/>
        <v>107.01573120144074</v>
      </c>
      <c r="Q1053" s="2">
        <f t="shared" si="359"/>
        <v>112.96105086229458</v>
      </c>
      <c r="R1053" s="2">
        <f t="shared" si="359"/>
        <v>117.2403558968505</v>
      </c>
      <c r="S1053" s="2">
        <f t="shared" si="359"/>
        <v>119.37957713525773</v>
      </c>
      <c r="T1053" s="2">
        <f t="shared" si="359"/>
        <v>119.37957713525773</v>
      </c>
      <c r="U1053" s="2">
        <f t="shared" si="359"/>
        <v>117.2403558968505</v>
      </c>
      <c r="V1053" s="2">
        <f t="shared" si="359"/>
        <v>112.96105086229458</v>
      </c>
      <c r="W1053" s="2">
        <f t="shared" si="359"/>
        <v>107.01573120144074</v>
      </c>
      <c r="X1053" s="2">
        <f t="shared" si="359"/>
        <v>98.926848606676415</v>
      </c>
      <c r="Y1053" s="2">
        <f t="shared" si="359"/>
        <v>89.406077657605564</v>
      </c>
      <c r="Z1053" s="2">
        <f t="shared" si="359"/>
        <v>78.213638292206937</v>
      </c>
      <c r="AA1053" s="2">
        <f t="shared" si="359"/>
        <v>65.586101688677175</v>
      </c>
      <c r="AB1053" s="2">
        <f t="shared" si="359"/>
        <v>51.999310534199267</v>
      </c>
      <c r="AC1053" s="2">
        <f t="shared" si="359"/>
        <v>37.214896961261807</v>
      </c>
      <c r="AD1053" s="2">
        <f t="shared" si="359"/>
        <v>21.949015597270865</v>
      </c>
      <c r="AE1053" s="2">
        <f t="shared" si="359"/>
        <v>6.441811894323469</v>
      </c>
      <c r="AF1053" s="2"/>
    </row>
    <row r="1054" spans="1:33">
      <c r="A1054" s="20" t="s">
        <v>824</v>
      </c>
      <c r="B1054" s="11"/>
      <c r="C1054" s="11"/>
      <c r="D1054" t="s">
        <v>193</v>
      </c>
      <c r="E1054" s="12"/>
      <c r="F1054" s="18"/>
      <c r="G1054" s="19">
        <f>SUM(H1054:AE1054)/48</f>
        <v>26.434753809568562</v>
      </c>
      <c r="H1054" s="2">
        <f>H$71*$W$20</f>
        <v>4.5092683260264277</v>
      </c>
      <c r="I1054" s="2">
        <f t="shared" ref="I1054:AE1054" si="360">I$71*$W$20</f>
        <v>15.364310918089604</v>
      </c>
      <c r="J1054" s="2">
        <f t="shared" si="360"/>
        <v>26.050427872883265</v>
      </c>
      <c r="K1054" s="2">
        <f t="shared" si="360"/>
        <v>36.399517373939482</v>
      </c>
      <c r="L1054" s="2">
        <f t="shared" si="360"/>
        <v>45.91027118207402</v>
      </c>
      <c r="M1054" s="2">
        <f t="shared" si="360"/>
        <v>54.749546804544856</v>
      </c>
      <c r="N1054" s="2">
        <f t="shared" si="360"/>
        <v>62.584254360323889</v>
      </c>
      <c r="O1054" s="2">
        <f t="shared" si="360"/>
        <v>69.248794024673487</v>
      </c>
      <c r="P1054" s="2">
        <f t="shared" si="360"/>
        <v>74.911011841008516</v>
      </c>
      <c r="Q1054" s="2">
        <f t="shared" si="360"/>
        <v>79.072735603606205</v>
      </c>
      <c r="R1054" s="2">
        <f t="shared" si="360"/>
        <v>82.06824912779534</v>
      </c>
      <c r="S1054" s="2">
        <f t="shared" si="360"/>
        <v>83.565703994680405</v>
      </c>
      <c r="T1054" s="2">
        <f t="shared" si="360"/>
        <v>83.565703994680405</v>
      </c>
      <c r="U1054" s="2">
        <f t="shared" si="360"/>
        <v>82.06824912779534</v>
      </c>
      <c r="V1054" s="2">
        <f t="shared" si="360"/>
        <v>79.072735603606205</v>
      </c>
      <c r="W1054" s="2">
        <f t="shared" si="360"/>
        <v>74.911011841008516</v>
      </c>
      <c r="X1054" s="2">
        <f t="shared" si="360"/>
        <v>69.248794024673487</v>
      </c>
      <c r="Y1054" s="2">
        <f t="shared" si="360"/>
        <v>62.584254360323889</v>
      </c>
      <c r="Z1054" s="2">
        <f t="shared" si="360"/>
        <v>54.749546804544856</v>
      </c>
      <c r="AA1054" s="2">
        <f t="shared" si="360"/>
        <v>45.91027118207402</v>
      </c>
      <c r="AB1054" s="2">
        <f t="shared" si="360"/>
        <v>36.399517373939482</v>
      </c>
      <c r="AC1054" s="2">
        <f t="shared" si="360"/>
        <v>26.050427872883265</v>
      </c>
      <c r="AD1054" s="2">
        <f t="shared" si="360"/>
        <v>15.364310918089604</v>
      </c>
      <c r="AE1054" s="2">
        <f t="shared" si="360"/>
        <v>4.5092683260264277</v>
      </c>
      <c r="AF1054" s="2"/>
    </row>
    <row r="1055" spans="1:33">
      <c r="A1055" s="20"/>
      <c r="B1055" s="5" t="s">
        <v>195</v>
      </c>
      <c r="C1055" s="11"/>
      <c r="D1055" t="s">
        <v>194</v>
      </c>
      <c r="E1055" s="12"/>
      <c r="F1055" s="18"/>
      <c r="G1055" s="19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</row>
    <row r="1056" spans="1:33">
      <c r="A1056" s="20" t="s">
        <v>825</v>
      </c>
      <c r="D1056" t="s">
        <v>196</v>
      </c>
      <c r="G1056" s="19">
        <f>SUM(H1056:AE1056)/24</f>
        <v>272.70798197699997</v>
      </c>
      <c r="H1056" s="2">
        <f>$W$24</f>
        <v>272.70798197700003</v>
      </c>
      <c r="I1056" s="2">
        <f t="shared" ref="I1056:AE1056" si="361">$W$24</f>
        <v>272.70798197700003</v>
      </c>
      <c r="J1056" s="2">
        <f t="shared" si="361"/>
        <v>272.70798197700003</v>
      </c>
      <c r="K1056" s="2">
        <f t="shared" si="361"/>
        <v>272.70798197700003</v>
      </c>
      <c r="L1056" s="2">
        <f t="shared" si="361"/>
        <v>272.70798197700003</v>
      </c>
      <c r="M1056" s="2">
        <f t="shared" si="361"/>
        <v>272.70798197700003</v>
      </c>
      <c r="N1056" s="2">
        <f t="shared" si="361"/>
        <v>272.70798197700003</v>
      </c>
      <c r="O1056" s="2">
        <f t="shared" si="361"/>
        <v>272.70798197700003</v>
      </c>
      <c r="P1056" s="2">
        <f t="shared" si="361"/>
        <v>272.70798197700003</v>
      </c>
      <c r="Q1056" s="2">
        <f t="shared" si="361"/>
        <v>272.70798197700003</v>
      </c>
      <c r="R1056" s="2">
        <f t="shared" si="361"/>
        <v>272.70798197700003</v>
      </c>
      <c r="S1056" s="2">
        <f t="shared" si="361"/>
        <v>272.70798197700003</v>
      </c>
      <c r="T1056" s="2">
        <f t="shared" si="361"/>
        <v>272.70798197700003</v>
      </c>
      <c r="U1056" s="2">
        <f t="shared" si="361"/>
        <v>272.70798197700003</v>
      </c>
      <c r="V1056" s="2">
        <f t="shared" si="361"/>
        <v>272.70798197700003</v>
      </c>
      <c r="W1056" s="2">
        <f t="shared" si="361"/>
        <v>272.70798197700003</v>
      </c>
      <c r="X1056" s="2">
        <f t="shared" si="361"/>
        <v>272.70798197700003</v>
      </c>
      <c r="Y1056" s="2">
        <f t="shared" si="361"/>
        <v>272.70798197700003</v>
      </c>
      <c r="Z1056" s="2">
        <f t="shared" si="361"/>
        <v>272.70798197700003</v>
      </c>
      <c r="AA1056" s="2">
        <f t="shared" si="361"/>
        <v>272.70798197700003</v>
      </c>
      <c r="AB1056" s="2">
        <f t="shared" si="361"/>
        <v>272.70798197700003</v>
      </c>
      <c r="AC1056" s="2">
        <f t="shared" si="361"/>
        <v>272.70798197700003</v>
      </c>
      <c r="AD1056" s="2">
        <f t="shared" si="361"/>
        <v>272.70798197700003</v>
      </c>
      <c r="AE1056" s="2">
        <f t="shared" si="361"/>
        <v>272.70798197700003</v>
      </c>
      <c r="AF1056" s="2"/>
    </row>
    <row r="1057" spans="1:33">
      <c r="A1057" s="20"/>
      <c r="B1057" s="16" t="s">
        <v>720</v>
      </c>
      <c r="G1057" s="32">
        <f>G1054+G1056</f>
        <v>299.14273578656855</v>
      </c>
      <c r="H1057" s="33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</row>
    <row r="1058" spans="1:33">
      <c r="A1058" s="39" t="s">
        <v>514</v>
      </c>
      <c r="B1058" s="16"/>
      <c r="F1058" s="12"/>
      <c r="G1058" s="32"/>
      <c r="H1058" s="33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</row>
    <row r="1059" spans="1:33">
      <c r="A1059" s="3" t="s">
        <v>723</v>
      </c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</row>
    <row r="1060" spans="1:33" s="27" customFormat="1">
      <c r="A1060" s="27" t="s">
        <v>1031</v>
      </c>
      <c r="G1060" s="55"/>
      <c r="H1060" s="101">
        <f ca="1">Tabelle3!D$51</f>
        <v>0.85</v>
      </c>
      <c r="I1060" s="101">
        <f ca="1">Tabelle3!E$51</f>
        <v>0.46883413123331213</v>
      </c>
      <c r="J1060" s="101">
        <f ca="1">Tabelle3!F$51</f>
        <v>0.32625797146050045</v>
      </c>
      <c r="K1060" s="101">
        <f ca="1">Tabelle3!G$51</f>
        <v>0.23613113399899857</v>
      </c>
      <c r="L1060" s="101">
        <f ca="1">Tabelle3!H$51</f>
        <v>0.19017605487272018</v>
      </c>
      <c r="M1060" s="101">
        <f ca="1">Tabelle3!I$51</f>
        <v>0.16390709325030853</v>
      </c>
      <c r="N1060" s="101">
        <f ca="1">Tabelle3!J$51</f>
        <v>0.14403008623453598</v>
      </c>
      <c r="O1060" s="101">
        <f ca="1">Tabelle3!K$51</f>
        <v>0.13274972955806505</v>
      </c>
      <c r="P1060" s="101">
        <f ca="1">Tabelle3!L$51</f>
        <v>0.12316142638306475</v>
      </c>
      <c r="Q1060" s="101">
        <f ca="1">Tabelle3!M$51</f>
        <v>0.11611120346027044</v>
      </c>
      <c r="R1060" s="101">
        <f ca="1">Tabelle3!N$51</f>
        <v>0.11103504295585855</v>
      </c>
      <c r="S1060" s="101">
        <f ca="1">Tabelle3!O$51</f>
        <v>0.10849696270365258</v>
      </c>
      <c r="T1060" s="101">
        <f ca="1">Tabelle3!P$51</f>
        <v>0.10849696270365258</v>
      </c>
      <c r="U1060" s="101">
        <f ca="1">Tabelle3!Q$51</f>
        <v>0.11103504295585855</v>
      </c>
      <c r="V1060" s="101">
        <f ca="1">Tabelle3!R$51</f>
        <v>0.11611120346027044</v>
      </c>
      <c r="W1060" s="101">
        <f ca="1">Tabelle3!S$51</f>
        <v>0.12316142638306475</v>
      </c>
      <c r="X1060" s="101">
        <f ca="1">Tabelle3!T$51</f>
        <v>0.13274972955806505</v>
      </c>
      <c r="Y1060" s="101">
        <f ca="1">Tabelle3!U$51</f>
        <v>0.14403008623453598</v>
      </c>
      <c r="Z1060" s="101">
        <f ca="1">Tabelle3!V$51</f>
        <v>0.16390709325030853</v>
      </c>
      <c r="AA1060" s="101">
        <f ca="1">Tabelle3!W$51</f>
        <v>0.19017605487272018</v>
      </c>
      <c r="AB1060" s="101">
        <f ca="1">Tabelle3!X$51</f>
        <v>0.23613113399899857</v>
      </c>
      <c r="AC1060" s="101">
        <f ca="1">Tabelle3!Y$51</f>
        <v>0.32625797146050045</v>
      </c>
      <c r="AD1060" s="101">
        <f ca="1">Tabelle3!Z$51</f>
        <v>0.46883413123331213</v>
      </c>
      <c r="AE1060" s="101">
        <f ca="1">Tabelle3!AA$51</f>
        <v>0.85</v>
      </c>
      <c r="AF1060" s="55"/>
    </row>
    <row r="1061" spans="1:33" s="27" customFormat="1">
      <c r="A1061" s="27" t="s">
        <v>830</v>
      </c>
      <c r="F1061" s="10">
        <f ca="1">Tabelle3!J$80</f>
        <v>2.1260406910099214</v>
      </c>
      <c r="H1061" s="107">
        <f ca="1">$F$10*$F$142</f>
        <v>2.1260406910099214E-2</v>
      </c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55"/>
    </row>
    <row r="1062" spans="1:33" ht="15" customHeight="1">
      <c r="A1062" s="3" t="s">
        <v>831</v>
      </c>
      <c r="B1062" s="11"/>
      <c r="C1062" s="11"/>
      <c r="D1062" s="11"/>
      <c r="E1062" s="27"/>
      <c r="F1062" s="6"/>
      <c r="G1062" s="19">
        <f>SUM(H1062:AE1062)/48</f>
        <v>2.9948961982648918</v>
      </c>
      <c r="H1062" s="24">
        <f>H$71*H$1060*$F$16</f>
        <v>2.7377700550874744</v>
      </c>
      <c r="I1062" s="24">
        <f t="shared" ref="I1062:AE1062" si="362">I$71*I$1060*$F$16</f>
        <v>5.1452238294864516</v>
      </c>
      <c r="J1062" s="24">
        <f t="shared" si="362"/>
        <v>6.0708283953464095</v>
      </c>
      <c r="K1062" s="24">
        <f t="shared" si="362"/>
        <v>6.1393280818032725</v>
      </c>
      <c r="L1062" s="24">
        <f t="shared" si="362"/>
        <v>6.2364530368168385</v>
      </c>
      <c r="M1062" s="24">
        <f t="shared" si="362"/>
        <v>6.4098850525033324</v>
      </c>
      <c r="N1062" s="24">
        <f t="shared" si="362"/>
        <v>6.4385825374582746</v>
      </c>
      <c r="O1062" s="24">
        <f t="shared" si="362"/>
        <v>6.566256199283969</v>
      </c>
      <c r="P1062" s="24">
        <f t="shared" si="362"/>
        <v>6.5901050500980451</v>
      </c>
      <c r="Q1062" s="24">
        <f t="shared" si="362"/>
        <v>6.5580217798789224</v>
      </c>
      <c r="R1062" s="24">
        <f t="shared" si="362"/>
        <v>6.5088939765834697</v>
      </c>
      <c r="S1062" s="24">
        <f t="shared" si="362"/>
        <v>6.4761607640109373</v>
      </c>
      <c r="T1062" s="24">
        <f t="shared" si="362"/>
        <v>6.4761607640109373</v>
      </c>
      <c r="U1062" s="24">
        <f t="shared" si="362"/>
        <v>6.5088939765834697</v>
      </c>
      <c r="V1062" s="24">
        <f t="shared" si="362"/>
        <v>6.5580217798789224</v>
      </c>
      <c r="W1062" s="24">
        <f t="shared" si="362"/>
        <v>6.5901050500980451</v>
      </c>
      <c r="X1062" s="24">
        <f t="shared" si="362"/>
        <v>6.566256199283969</v>
      </c>
      <c r="Y1062" s="24">
        <f t="shared" si="362"/>
        <v>6.4385825374582746</v>
      </c>
      <c r="Z1062" s="24">
        <f t="shared" si="362"/>
        <v>6.4098850525033324</v>
      </c>
      <c r="AA1062" s="24">
        <f t="shared" si="362"/>
        <v>6.2364530368168385</v>
      </c>
      <c r="AB1062" s="24">
        <f t="shared" si="362"/>
        <v>6.1393280818032725</v>
      </c>
      <c r="AC1062" s="24">
        <f t="shared" si="362"/>
        <v>6.0708283953464095</v>
      </c>
      <c r="AD1062" s="24">
        <f t="shared" si="362"/>
        <v>5.1452238294864516</v>
      </c>
      <c r="AE1062" s="24">
        <f t="shared" si="362"/>
        <v>2.7377700550874744</v>
      </c>
      <c r="AF1062" s="28"/>
      <c r="AG1062" s="11"/>
    </row>
    <row r="1063" spans="1:33">
      <c r="A1063" s="3"/>
      <c r="B1063" s="5" t="s">
        <v>197</v>
      </c>
      <c r="C1063" s="11"/>
      <c r="D1063" t="s">
        <v>198</v>
      </c>
      <c r="F1063" s="27"/>
      <c r="G1063" t="s">
        <v>854</v>
      </c>
      <c r="I1063" s="2"/>
      <c r="K1063" s="2"/>
      <c r="M1063" s="2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11"/>
    </row>
    <row r="1064" spans="1:33">
      <c r="A1064" s="3"/>
      <c r="C1064" s="11"/>
      <c r="D1064" s="2" t="s">
        <v>199</v>
      </c>
      <c r="F1064" s="27"/>
      <c r="G1064" s="2"/>
      <c r="I1064" s="2"/>
      <c r="K1064" s="2"/>
      <c r="M1064" s="2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11"/>
    </row>
    <row r="1065" spans="1:33">
      <c r="A1065" t="s">
        <v>879</v>
      </c>
      <c r="C1065" s="11"/>
      <c r="G1065" s="98">
        <f>SUM(H1065:AE1065)/48</f>
        <v>34.709139891439186</v>
      </c>
      <c r="H1065" s="97">
        <f>H$71*(1-($F$16+$F$13)*H$1060)</f>
        <v>3.6492864381342454</v>
      </c>
      <c r="I1065" s="97">
        <f t="shared" ref="I1065:AE1065" si="363">I$71*(1-($F$16+$F$13)*I$1060)</f>
        <v>16.700887291194686</v>
      </c>
      <c r="J1065" s="97">
        <f t="shared" si="363"/>
        <v>31.02265199800847</v>
      </c>
      <c r="K1065" s="97">
        <f t="shared" si="363"/>
        <v>45.737195890759928</v>
      </c>
      <c r="L1065" s="97">
        <f t="shared" si="363"/>
        <v>59.224919591123999</v>
      </c>
      <c r="M1065" s="97">
        <f t="shared" si="363"/>
        <v>71.675555538653541</v>
      </c>
      <c r="N1065" s="97">
        <f t="shared" si="363"/>
        <v>82.838723469398118</v>
      </c>
      <c r="O1065" s="97">
        <f t="shared" si="363"/>
        <v>92.229267283406756</v>
      </c>
      <c r="P1065" s="97">
        <f t="shared" si="363"/>
        <v>100.29382405034073</v>
      </c>
      <c r="Q1065" s="97">
        <f t="shared" si="363"/>
        <v>106.27186864681808</v>
      </c>
      <c r="R1065" s="97">
        <f t="shared" si="363"/>
        <v>110.60128404073537</v>
      </c>
      <c r="S1065" s="97">
        <f t="shared" si="363"/>
        <v>112.77389315596658</v>
      </c>
      <c r="T1065" s="97">
        <f t="shared" si="363"/>
        <v>112.77389315596658</v>
      </c>
      <c r="U1065" s="97">
        <f t="shared" si="363"/>
        <v>110.60128404073537</v>
      </c>
      <c r="V1065" s="97">
        <f t="shared" si="363"/>
        <v>106.27186864681808</v>
      </c>
      <c r="W1065" s="97">
        <f t="shared" si="363"/>
        <v>100.29382405034073</v>
      </c>
      <c r="X1065" s="97">
        <f t="shared" si="363"/>
        <v>92.229267283406756</v>
      </c>
      <c r="Y1065" s="97">
        <f t="shared" si="363"/>
        <v>82.838723469398118</v>
      </c>
      <c r="Z1065" s="97">
        <f t="shared" si="363"/>
        <v>71.675555538653541</v>
      </c>
      <c r="AA1065" s="97">
        <f t="shared" si="363"/>
        <v>59.224919591123999</v>
      </c>
      <c r="AB1065" s="97">
        <f t="shared" si="363"/>
        <v>45.737195890759928</v>
      </c>
      <c r="AC1065" s="97">
        <f t="shared" si="363"/>
        <v>31.02265199800847</v>
      </c>
      <c r="AD1065" s="97">
        <f t="shared" si="363"/>
        <v>16.700887291194686</v>
      </c>
      <c r="AE1065" s="97">
        <f t="shared" si="363"/>
        <v>3.6492864381342454</v>
      </c>
      <c r="AF1065" s="28"/>
      <c r="AG1065" s="11"/>
    </row>
    <row r="1066" spans="1:33">
      <c r="B1066" s="24" t="s">
        <v>200</v>
      </c>
      <c r="D1066" s="2" t="s">
        <v>201</v>
      </c>
      <c r="E1066" s="24" t="s">
        <v>900</v>
      </c>
      <c r="H1066" t="s">
        <v>853</v>
      </c>
      <c r="AF1066" s="28"/>
      <c r="AG1066" s="11"/>
    </row>
    <row r="1067" spans="1:33">
      <c r="A1067" t="s">
        <v>832</v>
      </c>
      <c r="C1067" s="11"/>
      <c r="D1067" s="24"/>
      <c r="G1067" s="97">
        <f>SUM(H1067:AE1067)/48</f>
        <v>24.296397924007426</v>
      </c>
      <c r="H1067" s="97">
        <f>H1065*$W$20</f>
        <v>2.5545005066939717</v>
      </c>
      <c r="I1067" s="97">
        <f t="shared" ref="I1067:AE1067" si="364">I1065*$W$20</f>
        <v>11.69062110383628</v>
      </c>
      <c r="J1067" s="97">
        <f t="shared" si="364"/>
        <v>21.715856398605929</v>
      </c>
      <c r="K1067" s="97">
        <f t="shared" si="364"/>
        <v>32.016037123531945</v>
      </c>
      <c r="L1067" s="97">
        <f t="shared" si="364"/>
        <v>41.457443713786795</v>
      </c>
      <c r="M1067" s="97">
        <f t="shared" si="364"/>
        <v>50.172888877057474</v>
      </c>
      <c r="N1067" s="97">
        <f t="shared" si="364"/>
        <v>57.987106428578677</v>
      </c>
      <c r="O1067" s="97">
        <f t="shared" si="364"/>
        <v>64.560487098384726</v>
      </c>
      <c r="P1067" s="97">
        <f t="shared" si="364"/>
        <v>70.205676835238506</v>
      </c>
      <c r="Q1067" s="97">
        <f t="shared" si="364"/>
        <v>74.390308052772653</v>
      </c>
      <c r="R1067" s="97">
        <f t="shared" si="364"/>
        <v>77.420898828514751</v>
      </c>
      <c r="S1067" s="97">
        <f t="shared" si="364"/>
        <v>78.941725209176596</v>
      </c>
      <c r="T1067" s="97">
        <f t="shared" si="364"/>
        <v>78.941725209176596</v>
      </c>
      <c r="U1067" s="97">
        <f t="shared" si="364"/>
        <v>77.420898828514751</v>
      </c>
      <c r="V1067" s="97">
        <f t="shared" si="364"/>
        <v>74.390308052772653</v>
      </c>
      <c r="W1067" s="97">
        <f t="shared" si="364"/>
        <v>70.205676835238506</v>
      </c>
      <c r="X1067" s="97">
        <f t="shared" si="364"/>
        <v>64.560487098384726</v>
      </c>
      <c r="Y1067" s="97">
        <f t="shared" si="364"/>
        <v>57.987106428578677</v>
      </c>
      <c r="Z1067" s="97">
        <f t="shared" si="364"/>
        <v>50.172888877057474</v>
      </c>
      <c r="AA1067" s="97">
        <f t="shared" si="364"/>
        <v>41.457443713786795</v>
      </c>
      <c r="AB1067" s="97">
        <f t="shared" si="364"/>
        <v>32.016037123531945</v>
      </c>
      <c r="AC1067" s="97">
        <f t="shared" si="364"/>
        <v>21.715856398605929</v>
      </c>
      <c r="AD1067" s="97">
        <f t="shared" si="364"/>
        <v>11.69062110383628</v>
      </c>
      <c r="AE1067" s="97">
        <f t="shared" si="364"/>
        <v>2.5545005066939717</v>
      </c>
      <c r="AF1067" s="28"/>
      <c r="AG1067" s="11"/>
    </row>
    <row r="1068" spans="1:33">
      <c r="B1068" s="24" t="s">
        <v>912</v>
      </c>
      <c r="C1068" s="14" t="s">
        <v>202</v>
      </c>
      <c r="D1068" s="24" t="s">
        <v>203</v>
      </c>
      <c r="AF1068" s="28"/>
      <c r="AG1068" s="11"/>
    </row>
    <row r="1069" spans="1:33">
      <c r="A1069" s="20" t="s">
        <v>833</v>
      </c>
      <c r="B1069" s="11"/>
      <c r="C1069" s="11"/>
      <c r="D1069" s="11"/>
      <c r="E1069" s="27"/>
      <c r="F1069" s="6"/>
      <c r="G1069" s="19">
        <f>SUM(H1069:AE1069)/48</f>
        <v>24.032956757787247</v>
      </c>
      <c r="H1069" s="24">
        <f>H1067*(1-($F$16+$F$13)*$H$1061)</f>
        <v>2.5268025493795436</v>
      </c>
      <c r="I1069" s="24">
        <f t="shared" ref="I1069:AE1069" si="365">I1067*(1-($F$16+$F$13)*$H$1061)</f>
        <v>11.563861949369612</v>
      </c>
      <c r="J1069" s="24">
        <f t="shared" si="365"/>
        <v>21.480395547453753</v>
      </c>
      <c r="K1069" s="24">
        <f t="shared" si="365"/>
        <v>31.668893395315429</v>
      </c>
      <c r="L1069" s="24">
        <f t="shared" si="365"/>
        <v>41.007928631154897</v>
      </c>
      <c r="M1069" s="24">
        <f t="shared" si="365"/>
        <v>49.628873900032943</v>
      </c>
      <c r="N1069" s="24">
        <f t="shared" si="365"/>
        <v>57.358363394691168</v>
      </c>
      <c r="O1069" s="24">
        <f t="shared" si="365"/>
        <v>63.860470163111536</v>
      </c>
      <c r="P1069" s="24">
        <f t="shared" si="365"/>
        <v>69.444450194211299</v>
      </c>
      <c r="Q1069" s="24">
        <f t="shared" si="365"/>
        <v>73.58370826089417</v>
      </c>
      <c r="R1069" s="24">
        <f t="shared" si="365"/>
        <v>76.581438924170428</v>
      </c>
      <c r="S1069" s="24">
        <f t="shared" si="365"/>
        <v>78.085775277109107</v>
      </c>
      <c r="T1069" s="24">
        <f t="shared" si="365"/>
        <v>78.085775277109107</v>
      </c>
      <c r="U1069" s="24">
        <f t="shared" si="365"/>
        <v>76.581438924170428</v>
      </c>
      <c r="V1069" s="24">
        <f t="shared" si="365"/>
        <v>73.58370826089417</v>
      </c>
      <c r="W1069" s="24">
        <f t="shared" si="365"/>
        <v>69.444450194211299</v>
      </c>
      <c r="X1069" s="24">
        <f t="shared" si="365"/>
        <v>63.860470163111536</v>
      </c>
      <c r="Y1069" s="24">
        <f t="shared" si="365"/>
        <v>57.358363394691168</v>
      </c>
      <c r="Z1069" s="24">
        <f t="shared" si="365"/>
        <v>49.628873900032943</v>
      </c>
      <c r="AA1069" s="24">
        <f t="shared" si="365"/>
        <v>41.007928631154897</v>
      </c>
      <c r="AB1069" s="24">
        <f t="shared" si="365"/>
        <v>31.668893395315429</v>
      </c>
      <c r="AC1069" s="24">
        <f t="shared" si="365"/>
        <v>21.480395547453753</v>
      </c>
      <c r="AD1069" s="24">
        <f t="shared" si="365"/>
        <v>11.563861949369612</v>
      </c>
      <c r="AE1069" s="24">
        <f t="shared" si="365"/>
        <v>2.5268025493795436</v>
      </c>
      <c r="AF1069" s="28"/>
      <c r="AG1069" s="11"/>
    </row>
    <row r="1070" spans="1:33">
      <c r="A1070" s="20"/>
      <c r="B1070" s="24" t="s">
        <v>204</v>
      </c>
      <c r="C1070" s="11"/>
      <c r="D1070" t="s">
        <v>205</v>
      </c>
      <c r="G1070" s="27"/>
      <c r="H1070" s="24" t="s">
        <v>900</v>
      </c>
      <c r="K1070" t="s">
        <v>853</v>
      </c>
      <c r="M1070" s="28"/>
      <c r="O1070" s="28"/>
      <c r="P1070" s="28"/>
      <c r="Q1070" s="11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11"/>
    </row>
    <row r="1071" spans="1:33">
      <c r="A1071" t="s">
        <v>834</v>
      </c>
      <c r="B1071" s="5"/>
      <c r="C1071" s="11"/>
      <c r="D1071" s="5" t="s">
        <v>206</v>
      </c>
      <c r="F1071" t="s">
        <v>207</v>
      </c>
      <c r="G1071" s="97">
        <f>SUM(H1071:AE1071)/48</f>
        <v>0.25827565315704387</v>
      </c>
      <c r="H1071" s="97">
        <f>H1067*$H$1061*$F$16</f>
        <v>2.715486011218423E-2</v>
      </c>
      <c r="I1071" s="97">
        <f t="shared" ref="I1071:AE1071" si="366">I1067*$H$1061*$F$16</f>
        <v>0.12427368084967627</v>
      </c>
      <c r="J1071" s="97">
        <f t="shared" si="366"/>
        <v>0.23084397171782187</v>
      </c>
      <c r="K1071" s="97">
        <f t="shared" si="366"/>
        <v>0.34033698844756577</v>
      </c>
      <c r="L1071" s="97">
        <f t="shared" si="366"/>
        <v>0.44070106140382098</v>
      </c>
      <c r="M1071" s="97">
        <f t="shared" si="366"/>
        <v>0.5333480166907163</v>
      </c>
      <c r="N1071" s="97">
        <f t="shared" si="366"/>
        <v>0.61641473910540634</v>
      </c>
      <c r="O1071" s="97">
        <f t="shared" si="366"/>
        <v>0.68629111301293488</v>
      </c>
      <c r="P1071" s="97">
        <f t="shared" si="366"/>
        <v>0.74630062845804856</v>
      </c>
      <c r="Q1071" s="97">
        <f t="shared" si="366"/>
        <v>0.79078410968478841</v>
      </c>
      <c r="R1071" s="97">
        <f t="shared" si="366"/>
        <v>0.82299990621992358</v>
      </c>
      <c r="S1071" s="97">
        <f t="shared" si="366"/>
        <v>0.83916660006616572</v>
      </c>
      <c r="T1071" s="97">
        <f t="shared" si="366"/>
        <v>0.83916660006616572</v>
      </c>
      <c r="U1071" s="97">
        <f t="shared" si="366"/>
        <v>0.82299990621992358</v>
      </c>
      <c r="V1071" s="97">
        <f t="shared" si="366"/>
        <v>0.79078410968478841</v>
      </c>
      <c r="W1071" s="97">
        <f t="shared" si="366"/>
        <v>0.74630062845804856</v>
      </c>
      <c r="X1071" s="97">
        <f t="shared" si="366"/>
        <v>0.68629111301293488</v>
      </c>
      <c r="Y1071" s="97">
        <f t="shared" si="366"/>
        <v>0.61641473910540634</v>
      </c>
      <c r="Z1071" s="97">
        <f t="shared" si="366"/>
        <v>0.5333480166907163</v>
      </c>
      <c r="AA1071" s="97">
        <f t="shared" si="366"/>
        <v>0.44070106140382098</v>
      </c>
      <c r="AB1071" s="97">
        <f t="shared" si="366"/>
        <v>0.34033698844756577</v>
      </c>
      <c r="AC1071" s="97">
        <f t="shared" si="366"/>
        <v>0.23084397171782187</v>
      </c>
      <c r="AD1071" s="97">
        <f t="shared" si="366"/>
        <v>0.12427368084967627</v>
      </c>
      <c r="AE1071" s="97">
        <f t="shared" si="366"/>
        <v>2.715486011218423E-2</v>
      </c>
      <c r="AF1071" s="28"/>
      <c r="AG1071" s="11"/>
    </row>
    <row r="1072" spans="1:33">
      <c r="A1072" t="s">
        <v>909</v>
      </c>
      <c r="B1072" s="5"/>
      <c r="C1072" s="11"/>
      <c r="D1072" s="5" t="s">
        <v>208</v>
      </c>
      <c r="G1072" s="97">
        <f>SUM(H1072:AE1072)/48</f>
        <v>0.18079295720993069</v>
      </c>
      <c r="H1072" s="97">
        <f>H1071*$W$20</f>
        <v>1.9008402078528958E-2</v>
      </c>
      <c r="I1072" s="97">
        <f t="shared" ref="I1072:AE1072" si="367">I1071*$W$20</f>
        <v>8.6991576594773384E-2</v>
      </c>
      <c r="J1072" s="97">
        <f t="shared" si="367"/>
        <v>0.1615907802024753</v>
      </c>
      <c r="K1072" s="97">
        <f t="shared" si="367"/>
        <v>0.23823589191329603</v>
      </c>
      <c r="L1072" s="97">
        <f t="shared" si="367"/>
        <v>0.30849074298267465</v>
      </c>
      <c r="M1072" s="97">
        <f t="shared" si="367"/>
        <v>0.37334361168350139</v>
      </c>
      <c r="N1072" s="97">
        <f t="shared" si="367"/>
        <v>0.4314903173737844</v>
      </c>
      <c r="O1072" s="97">
        <f t="shared" si="367"/>
        <v>0.48040377910905441</v>
      </c>
      <c r="P1072" s="97">
        <f t="shared" si="367"/>
        <v>0.52241043992063396</v>
      </c>
      <c r="Q1072" s="97">
        <f t="shared" si="367"/>
        <v>0.55354887677935183</v>
      </c>
      <c r="R1072" s="97">
        <f t="shared" si="367"/>
        <v>0.57609993435394646</v>
      </c>
      <c r="S1072" s="97">
        <f t="shared" si="367"/>
        <v>0.58741662004631601</v>
      </c>
      <c r="T1072" s="97">
        <f t="shared" si="367"/>
        <v>0.58741662004631601</v>
      </c>
      <c r="U1072" s="97">
        <f t="shared" si="367"/>
        <v>0.57609993435394646</v>
      </c>
      <c r="V1072" s="97">
        <f t="shared" si="367"/>
        <v>0.55354887677935183</v>
      </c>
      <c r="W1072" s="97">
        <f t="shared" si="367"/>
        <v>0.52241043992063396</v>
      </c>
      <c r="X1072" s="97">
        <f t="shared" si="367"/>
        <v>0.48040377910905441</v>
      </c>
      <c r="Y1072" s="97">
        <f t="shared" si="367"/>
        <v>0.4314903173737844</v>
      </c>
      <c r="Z1072" s="97">
        <f t="shared" si="367"/>
        <v>0.37334361168350139</v>
      </c>
      <c r="AA1072" s="97">
        <f t="shared" si="367"/>
        <v>0.30849074298267465</v>
      </c>
      <c r="AB1072" s="97">
        <f t="shared" si="367"/>
        <v>0.23823589191329603</v>
      </c>
      <c r="AC1072" s="97">
        <f t="shared" si="367"/>
        <v>0.1615907802024753</v>
      </c>
      <c r="AD1072" s="97">
        <f t="shared" si="367"/>
        <v>8.6991576594773384E-2</v>
      </c>
      <c r="AE1072" s="97">
        <f t="shared" si="367"/>
        <v>1.9008402078528958E-2</v>
      </c>
      <c r="AF1072" s="28"/>
      <c r="AG1072" s="11"/>
    </row>
    <row r="1073" spans="1:33">
      <c r="A1073" s="20" t="s">
        <v>835</v>
      </c>
      <c r="B1073" s="5"/>
      <c r="C1073" s="11"/>
      <c r="G1073" s="19">
        <f>SUM(H1073:AE1073)/48</f>
        <v>0.1788326539731814</v>
      </c>
      <c r="H1073" s="24">
        <f>H1072*(1-($F$16+$F$13)*$H$1061)</f>
        <v>1.8802297633449806E-2</v>
      </c>
      <c r="I1073" s="24">
        <f t="shared" ref="I1073:AE1073" si="368">I1072*(1-($F$16+$F$13)*$H$1061)</f>
        <v>8.6048343673533853E-2</v>
      </c>
      <c r="J1073" s="24">
        <f t="shared" si="368"/>
        <v>0.15983868247506255</v>
      </c>
      <c r="K1073" s="24">
        <f t="shared" si="368"/>
        <v>0.23565274599193581</v>
      </c>
      <c r="L1073" s="24">
        <f t="shared" si="368"/>
        <v>0.30514583723353128</v>
      </c>
      <c r="M1073" s="24">
        <f t="shared" si="368"/>
        <v>0.36929551876164596</v>
      </c>
      <c r="N1073" s="24">
        <f t="shared" si="368"/>
        <v>0.42681175091396584</v>
      </c>
      <c r="O1073" s="24">
        <f t="shared" si="368"/>
        <v>0.47519485339830037</v>
      </c>
      <c r="P1073" s="24">
        <f t="shared" si="368"/>
        <v>0.51674604407196767</v>
      </c>
      <c r="Q1073" s="24">
        <f t="shared" si="368"/>
        <v>0.54754685285322358</v>
      </c>
      <c r="R1073" s="24">
        <f t="shared" si="368"/>
        <v>0.56985339365107079</v>
      </c>
      <c r="S1073" s="24">
        <f t="shared" si="368"/>
        <v>0.58104737469866674</v>
      </c>
      <c r="T1073" s="24">
        <f t="shared" si="368"/>
        <v>0.58104737469866674</v>
      </c>
      <c r="U1073" s="24">
        <f t="shared" si="368"/>
        <v>0.56985339365107079</v>
      </c>
      <c r="V1073" s="24">
        <f t="shared" si="368"/>
        <v>0.54754685285322358</v>
      </c>
      <c r="W1073" s="24">
        <f t="shared" si="368"/>
        <v>0.51674604407196767</v>
      </c>
      <c r="X1073" s="24">
        <f t="shared" si="368"/>
        <v>0.47519485339830037</v>
      </c>
      <c r="Y1073" s="24">
        <f t="shared" si="368"/>
        <v>0.42681175091396584</v>
      </c>
      <c r="Z1073" s="24">
        <f t="shared" si="368"/>
        <v>0.36929551876164596</v>
      </c>
      <c r="AA1073" s="24">
        <f t="shared" si="368"/>
        <v>0.30514583723353128</v>
      </c>
      <c r="AB1073" s="24">
        <f t="shared" si="368"/>
        <v>0.23565274599193581</v>
      </c>
      <c r="AC1073" s="24">
        <f t="shared" si="368"/>
        <v>0.15983868247506255</v>
      </c>
      <c r="AD1073" s="24">
        <f t="shared" si="368"/>
        <v>8.6048343673533853E-2</v>
      </c>
      <c r="AE1073" s="24">
        <f t="shared" si="368"/>
        <v>1.8802297633449806E-2</v>
      </c>
      <c r="AF1073" s="28"/>
      <c r="AG1073" s="11"/>
    </row>
    <row r="1074" spans="1:33">
      <c r="A1074" s="20"/>
      <c r="B1074" s="24" t="s">
        <v>209</v>
      </c>
      <c r="C1074" s="11"/>
      <c r="D1074" t="s">
        <v>205</v>
      </c>
      <c r="G1074" s="27"/>
      <c r="H1074" s="24" t="s">
        <v>900</v>
      </c>
      <c r="K1074" t="s">
        <v>853</v>
      </c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  <c r="AE1074" s="24"/>
      <c r="AF1074" s="28"/>
      <c r="AG1074" s="11"/>
    </row>
    <row r="1075" spans="1:33">
      <c r="A1075" s="100" t="s">
        <v>836</v>
      </c>
      <c r="B1075" s="5"/>
      <c r="C1075" s="11"/>
      <c r="G1075" s="19">
        <f>SUM(H1075:AE1075)/48</f>
        <v>1.3307192472989827E-3</v>
      </c>
      <c r="H1075" s="2">
        <f>H1073^2/H1069</f>
        <v>1.3991057448617842E-4</v>
      </c>
      <c r="I1075" s="2">
        <f t="shared" ref="I1075:AE1075" si="369">I1073^2/I1069</f>
        <v>6.4029798015378676E-4</v>
      </c>
      <c r="J1075" s="2">
        <f t="shared" si="369"/>
        <v>1.1893824002878908E-3</v>
      </c>
      <c r="K1075" s="2">
        <f t="shared" si="369"/>
        <v>1.7535256442447822E-3</v>
      </c>
      <c r="L1075" s="2">
        <f t="shared" si="369"/>
        <v>2.2706336332777221E-3</v>
      </c>
      <c r="M1075" s="2">
        <f t="shared" si="369"/>
        <v>2.7479805496320696E-3</v>
      </c>
      <c r="N1075" s="2">
        <f t="shared" si="369"/>
        <v>3.175967024454988E-3</v>
      </c>
      <c r="O1075" s="2">
        <f t="shared" si="369"/>
        <v>3.5359925806914823E-3</v>
      </c>
      <c r="P1075" s="2">
        <f t="shared" si="369"/>
        <v>3.8451809081539328E-3</v>
      </c>
      <c r="Q1075" s="2">
        <f t="shared" si="369"/>
        <v>4.0743741129013128E-3</v>
      </c>
      <c r="R1075" s="2">
        <f t="shared" si="369"/>
        <v>4.2403602598429487E-3</v>
      </c>
      <c r="S1075" s="2">
        <f t="shared" si="369"/>
        <v>4.3236562670484896E-3</v>
      </c>
      <c r="T1075" s="2">
        <f t="shared" si="369"/>
        <v>4.3236562670484896E-3</v>
      </c>
      <c r="U1075" s="2">
        <f t="shared" si="369"/>
        <v>4.2403602598429487E-3</v>
      </c>
      <c r="V1075" s="2">
        <f t="shared" si="369"/>
        <v>4.0743741129013128E-3</v>
      </c>
      <c r="W1075" s="2">
        <f t="shared" si="369"/>
        <v>3.8451809081539328E-3</v>
      </c>
      <c r="X1075" s="2">
        <f t="shared" si="369"/>
        <v>3.5359925806914823E-3</v>
      </c>
      <c r="Y1075" s="2">
        <f t="shared" si="369"/>
        <v>3.175967024454988E-3</v>
      </c>
      <c r="Z1075" s="2">
        <f t="shared" si="369"/>
        <v>2.7479805496320696E-3</v>
      </c>
      <c r="AA1075" s="2">
        <f t="shared" si="369"/>
        <v>2.2706336332777221E-3</v>
      </c>
      <c r="AB1075" s="2">
        <f t="shared" si="369"/>
        <v>1.7535256442447822E-3</v>
      </c>
      <c r="AC1075" s="2">
        <f t="shared" si="369"/>
        <v>1.1893824002878908E-3</v>
      </c>
      <c r="AD1075" s="2">
        <f t="shared" si="369"/>
        <v>6.4029798015378676E-4</v>
      </c>
      <c r="AE1075" s="2">
        <f t="shared" si="369"/>
        <v>1.3991057448617842E-4</v>
      </c>
      <c r="AF1075" s="28"/>
      <c r="AG1075" s="11"/>
    </row>
    <row r="1076" spans="1:33">
      <c r="A1076" s="100"/>
      <c r="B1076" s="24" t="s">
        <v>210</v>
      </c>
      <c r="C1076" s="11"/>
      <c r="G1076" s="19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8"/>
      <c r="AG1076" s="11"/>
    </row>
    <row r="1077" spans="1:33">
      <c r="A1077" s="20" t="s">
        <v>837</v>
      </c>
      <c r="B1077" s="11"/>
      <c r="C1077" s="11"/>
      <c r="D1077" s="11"/>
      <c r="E1077" s="27"/>
      <c r="F1077" s="6"/>
      <c r="G1077" s="19">
        <f>SUM(H1077:AE1077)/24</f>
        <v>267.0260569658264</v>
      </c>
      <c r="H1077" s="24">
        <f>$W$24*(1-$H$1061*(1-$F$14))</f>
        <v>267.02605696582629</v>
      </c>
      <c r="I1077" s="24">
        <f t="shared" ref="I1077:AE1077" si="370">$W$24*(1-$H$1061*(1-$F$14))</f>
        <v>267.02605696582629</v>
      </c>
      <c r="J1077" s="24">
        <f t="shared" si="370"/>
        <v>267.02605696582629</v>
      </c>
      <c r="K1077" s="24">
        <f t="shared" si="370"/>
        <v>267.02605696582629</v>
      </c>
      <c r="L1077" s="24">
        <f t="shared" si="370"/>
        <v>267.02605696582629</v>
      </c>
      <c r="M1077" s="24">
        <f t="shared" si="370"/>
        <v>267.02605696582629</v>
      </c>
      <c r="N1077" s="24">
        <f t="shared" si="370"/>
        <v>267.02605696582629</v>
      </c>
      <c r="O1077" s="24">
        <f t="shared" si="370"/>
        <v>267.02605696582629</v>
      </c>
      <c r="P1077" s="24">
        <f t="shared" si="370"/>
        <v>267.02605696582629</v>
      </c>
      <c r="Q1077" s="24">
        <f t="shared" si="370"/>
        <v>267.02605696582629</v>
      </c>
      <c r="R1077" s="24">
        <f t="shared" si="370"/>
        <v>267.02605696582629</v>
      </c>
      <c r="S1077" s="24">
        <f t="shared" si="370"/>
        <v>267.02605696582629</v>
      </c>
      <c r="T1077" s="24">
        <f t="shared" si="370"/>
        <v>267.02605696582629</v>
      </c>
      <c r="U1077" s="24">
        <f t="shared" si="370"/>
        <v>267.02605696582629</v>
      </c>
      <c r="V1077" s="24">
        <f t="shared" si="370"/>
        <v>267.02605696582629</v>
      </c>
      <c r="W1077" s="24">
        <f t="shared" si="370"/>
        <v>267.02605696582629</v>
      </c>
      <c r="X1077" s="24">
        <f t="shared" si="370"/>
        <v>267.02605696582629</v>
      </c>
      <c r="Y1077" s="24">
        <f t="shared" si="370"/>
        <v>267.02605696582629</v>
      </c>
      <c r="Z1077" s="24">
        <f t="shared" si="370"/>
        <v>267.02605696582629</v>
      </c>
      <c r="AA1077" s="24">
        <f t="shared" si="370"/>
        <v>267.02605696582629</v>
      </c>
      <c r="AB1077" s="24">
        <f t="shared" si="370"/>
        <v>267.02605696582629</v>
      </c>
      <c r="AC1077" s="24">
        <f t="shared" si="370"/>
        <v>267.02605696582629</v>
      </c>
      <c r="AD1077" s="24">
        <f t="shared" si="370"/>
        <v>267.02605696582629</v>
      </c>
      <c r="AE1077" s="24">
        <f t="shared" si="370"/>
        <v>267.02605696582629</v>
      </c>
      <c r="AF1077" s="28"/>
      <c r="AG1077" s="11"/>
    </row>
    <row r="1078" spans="1:33">
      <c r="A1078" s="20"/>
      <c r="B1078" s="5" t="s">
        <v>211</v>
      </c>
      <c r="C1078" s="11"/>
      <c r="D1078" t="s">
        <v>212</v>
      </c>
      <c r="E1078" s="2"/>
      <c r="G1078" t="s">
        <v>213</v>
      </c>
      <c r="I1078" s="11"/>
      <c r="J1078" s="28"/>
      <c r="K1078" s="2" t="s">
        <v>844</v>
      </c>
      <c r="L1078" s="12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11"/>
    </row>
    <row r="1079" spans="1:33">
      <c r="A1079" s="12" t="s">
        <v>573</v>
      </c>
      <c r="B1079" t="s">
        <v>839</v>
      </c>
      <c r="E1079" s="12"/>
      <c r="F1079" s="6"/>
      <c r="G1079" s="32"/>
      <c r="H1079" s="33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</row>
    <row r="1080" spans="1:33">
      <c r="A1080" s="11"/>
      <c r="B1080" s="14" t="s">
        <v>870</v>
      </c>
      <c r="E1080" s="12"/>
      <c r="F1080" s="6"/>
      <c r="G1080" s="32"/>
      <c r="H1080" s="33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</row>
    <row r="1081" spans="1:33">
      <c r="A1081" s="11"/>
      <c r="B1081" s="14" t="s">
        <v>845</v>
      </c>
      <c r="E1081" s="12"/>
      <c r="F1081" s="6"/>
      <c r="G1081" s="32"/>
      <c r="H1081" s="33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</row>
    <row r="1082" spans="1:33">
      <c r="A1082" s="11"/>
      <c r="B1082" s="14" t="s">
        <v>842</v>
      </c>
      <c r="E1082" s="12"/>
      <c r="F1082" s="6"/>
      <c r="G1082" s="32"/>
      <c r="H1082" s="33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</row>
    <row r="1083" spans="1:33">
      <c r="A1083" s="20" t="s">
        <v>914</v>
      </c>
      <c r="B1083" s="11"/>
      <c r="C1083" s="11"/>
      <c r="D1083" s="11"/>
      <c r="E1083" s="27"/>
      <c r="F1083" s="6"/>
      <c r="G1083" s="19">
        <f>SUM(H1083:AE1083)/24</f>
        <v>2.5618512323568008</v>
      </c>
      <c r="H1083" s="24">
        <f t="shared" ref="H1083:AE1083" si="371">$M$9*($F$9+273)^4*$F$10*$F$18</f>
        <v>2.5618512323567995</v>
      </c>
      <c r="I1083" s="24">
        <f t="shared" si="371"/>
        <v>2.5618512323567995</v>
      </c>
      <c r="J1083" s="24">
        <f t="shared" si="371"/>
        <v>2.5618512323567995</v>
      </c>
      <c r="K1083" s="24">
        <f t="shared" si="371"/>
        <v>2.5618512323567995</v>
      </c>
      <c r="L1083" s="24">
        <f t="shared" si="371"/>
        <v>2.5618512323567995</v>
      </c>
      <c r="M1083" s="24">
        <f t="shared" si="371"/>
        <v>2.5618512323567995</v>
      </c>
      <c r="N1083" s="24">
        <f t="shared" si="371"/>
        <v>2.5618512323567995</v>
      </c>
      <c r="O1083" s="24">
        <f t="shared" si="371"/>
        <v>2.5618512323567995</v>
      </c>
      <c r="P1083" s="24">
        <f t="shared" si="371"/>
        <v>2.5618512323567995</v>
      </c>
      <c r="Q1083" s="24">
        <f t="shared" si="371"/>
        <v>2.5618512323567995</v>
      </c>
      <c r="R1083" s="24">
        <f t="shared" si="371"/>
        <v>2.5618512323567995</v>
      </c>
      <c r="S1083" s="24">
        <f t="shared" si="371"/>
        <v>2.5618512323567995</v>
      </c>
      <c r="T1083" s="24">
        <f t="shared" si="371"/>
        <v>2.5618512323567995</v>
      </c>
      <c r="U1083" s="24">
        <f t="shared" si="371"/>
        <v>2.5618512323567995</v>
      </c>
      <c r="V1083" s="24">
        <f t="shared" si="371"/>
        <v>2.5618512323567995</v>
      </c>
      <c r="W1083" s="24">
        <f t="shared" si="371"/>
        <v>2.5618512323567995</v>
      </c>
      <c r="X1083" s="24">
        <f t="shared" si="371"/>
        <v>2.5618512323567995</v>
      </c>
      <c r="Y1083" s="24">
        <f t="shared" si="371"/>
        <v>2.5618512323567995</v>
      </c>
      <c r="Z1083" s="24">
        <f t="shared" si="371"/>
        <v>2.5618512323567995</v>
      </c>
      <c r="AA1083" s="24">
        <f t="shared" si="371"/>
        <v>2.5618512323567995</v>
      </c>
      <c r="AB1083" s="24">
        <f t="shared" si="371"/>
        <v>2.5618512323567995</v>
      </c>
      <c r="AC1083" s="24">
        <f t="shared" si="371"/>
        <v>2.5618512323567995</v>
      </c>
      <c r="AD1083" s="24">
        <f t="shared" si="371"/>
        <v>2.5618512323567995</v>
      </c>
      <c r="AE1083" s="24">
        <f t="shared" si="371"/>
        <v>2.5618512323567995</v>
      </c>
      <c r="AF1083" s="28"/>
      <c r="AG1083" s="11"/>
    </row>
    <row r="1084" spans="1:33">
      <c r="A1084" s="20"/>
      <c r="B1084" s="5" t="s">
        <v>923</v>
      </c>
      <c r="C1084" s="11"/>
      <c r="D1084" t="s">
        <v>743</v>
      </c>
      <c r="E1084" s="27"/>
      <c r="F1084" s="6"/>
      <c r="G1084" s="28"/>
      <c r="H1084" t="s">
        <v>717</v>
      </c>
      <c r="I1084" s="29"/>
      <c r="J1084" s="11"/>
      <c r="K1084" s="2" t="s">
        <v>719</v>
      </c>
      <c r="L1084" s="11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11"/>
    </row>
    <row r="1085" spans="1:33">
      <c r="A1085" s="20"/>
      <c r="B1085" s="27" t="s">
        <v>925</v>
      </c>
      <c r="C1085" s="11" t="s">
        <v>924</v>
      </c>
      <c r="E1085" s="27"/>
      <c r="F1085" s="6"/>
      <c r="G1085" s="28"/>
      <c r="I1085" s="29"/>
      <c r="J1085" s="11"/>
      <c r="K1085" s="2"/>
      <c r="L1085" s="11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11"/>
    </row>
    <row r="1086" spans="1:33">
      <c r="A1086" s="20"/>
      <c r="B1086" s="14"/>
      <c r="C1086" t="s">
        <v>926</v>
      </c>
      <c r="E1086" s="27"/>
      <c r="F1086" s="6"/>
      <c r="G1086" s="28"/>
      <c r="I1086" s="29"/>
      <c r="J1086" s="11"/>
      <c r="K1086" s="2"/>
      <c r="L1086" s="11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  <c r="AG1086" s="11"/>
    </row>
    <row r="1087" spans="1:33">
      <c r="A1087" s="20"/>
      <c r="B1087" s="16" t="s">
        <v>740</v>
      </c>
      <c r="C1087" s="11"/>
      <c r="D1087" s="11"/>
      <c r="E1087" s="27"/>
      <c r="F1087" s="6"/>
      <c r="G1087" s="32">
        <f>G1062+G1069+G1073+G1075+G1077+G1083</f>
        <v>296.79592452745578</v>
      </c>
      <c r="H1087" s="33"/>
      <c r="I1087" s="29"/>
      <c r="J1087" s="28"/>
      <c r="K1087" s="11"/>
      <c r="L1087" s="11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11"/>
    </row>
    <row r="1088" spans="1:33">
      <c r="A1088" s="20"/>
      <c r="B1088" s="16" t="s">
        <v>721</v>
      </c>
      <c r="G1088" s="32">
        <f>G1057-G1087</f>
        <v>2.3468112591127692</v>
      </c>
      <c r="H1088" s="33"/>
      <c r="I1088" s="86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</row>
    <row r="1089" spans="1:33">
      <c r="A1089" s="39" t="s">
        <v>514</v>
      </c>
      <c r="B1089" s="16"/>
      <c r="G1089" s="32"/>
      <c r="H1089" s="33"/>
      <c r="I1089" s="59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</row>
    <row r="1090" spans="1:33">
      <c r="A1090" s="3" t="s">
        <v>771</v>
      </c>
      <c r="G1090" t="s">
        <v>535</v>
      </c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</row>
    <row r="1091" spans="1:33">
      <c r="A1091" s="20" t="s">
        <v>873</v>
      </c>
      <c r="B1091" s="11"/>
      <c r="C1091" s="11"/>
      <c r="D1091" s="11"/>
      <c r="E1091" s="14" t="s">
        <v>563</v>
      </c>
      <c r="F1091" s="31">
        <f>$F$15</f>
        <v>0.7</v>
      </c>
      <c r="G1091" s="19">
        <f>SUM(H1091:AE1091)/48</f>
        <v>18.161005573037439</v>
      </c>
      <c r="H1091" s="2">
        <f>H$71*H$27*$F$15</f>
        <v>0</v>
      </c>
      <c r="I1091" s="2">
        <f t="shared" ref="I1091:AE1091" si="372">I$71*I$27*$F$15</f>
        <v>0</v>
      </c>
      <c r="J1091" s="2">
        <f t="shared" si="372"/>
        <v>0</v>
      </c>
      <c r="K1091" s="2">
        <f t="shared" si="372"/>
        <v>0</v>
      </c>
      <c r="L1091" s="2">
        <f t="shared" si="372"/>
        <v>0</v>
      </c>
      <c r="M1091" s="2">
        <f t="shared" si="372"/>
        <v>0</v>
      </c>
      <c r="N1091" s="2">
        <f t="shared" si="372"/>
        <v>0</v>
      </c>
      <c r="O1091" s="2">
        <f t="shared" si="372"/>
        <v>0</v>
      </c>
      <c r="P1091" s="2">
        <f t="shared" si="372"/>
        <v>74.911011841008516</v>
      </c>
      <c r="Q1091" s="2">
        <f t="shared" si="372"/>
        <v>79.072735603606205</v>
      </c>
      <c r="R1091" s="2">
        <f t="shared" si="372"/>
        <v>82.06824912779534</v>
      </c>
      <c r="S1091" s="2">
        <f t="shared" si="372"/>
        <v>83.565703994680405</v>
      </c>
      <c r="T1091" s="2">
        <f t="shared" si="372"/>
        <v>83.565703994680405</v>
      </c>
      <c r="U1091" s="2">
        <f t="shared" si="372"/>
        <v>82.06824912779534</v>
      </c>
      <c r="V1091" s="2">
        <f t="shared" si="372"/>
        <v>79.072735603606205</v>
      </c>
      <c r="W1091" s="2">
        <f t="shared" si="372"/>
        <v>74.911011841008516</v>
      </c>
      <c r="X1091" s="2">
        <f t="shared" si="372"/>
        <v>69.248794024673487</v>
      </c>
      <c r="Y1091" s="2">
        <f t="shared" si="372"/>
        <v>62.584254360323889</v>
      </c>
      <c r="Z1091" s="2">
        <f t="shared" si="372"/>
        <v>54.749546804544856</v>
      </c>
      <c r="AA1091" s="2">
        <f t="shared" si="372"/>
        <v>45.91027118207402</v>
      </c>
      <c r="AB1091" s="2">
        <f t="shared" si="372"/>
        <v>0</v>
      </c>
      <c r="AC1091" s="2">
        <f t="shared" si="372"/>
        <v>0</v>
      </c>
      <c r="AD1091" s="2">
        <f t="shared" si="372"/>
        <v>0</v>
      </c>
      <c r="AE1091" s="2">
        <f t="shared" si="372"/>
        <v>0</v>
      </c>
      <c r="AF1091" s="2"/>
    </row>
    <row r="1092" spans="1:33">
      <c r="A1092" s="5"/>
      <c r="B1092" s="5" t="s">
        <v>214</v>
      </c>
      <c r="C1092" s="11"/>
      <c r="D1092" t="s">
        <v>215</v>
      </c>
      <c r="E1092" s="12"/>
      <c r="F1092" s="18"/>
      <c r="G1092" s="19"/>
      <c r="H1092" s="2" t="s">
        <v>860</v>
      </c>
      <c r="I1092" s="2"/>
      <c r="J1092" s="2" t="s">
        <v>861</v>
      </c>
      <c r="K1092" s="26"/>
      <c r="L1092" s="2"/>
      <c r="M1092" s="2"/>
      <c r="N1092" s="2"/>
      <c r="O1092" s="26"/>
      <c r="P1092" s="2"/>
      <c r="Q1092" s="2"/>
      <c r="R1092" s="26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</row>
    <row r="1093" spans="1:33">
      <c r="A1093" s="20" t="s">
        <v>874</v>
      </c>
      <c r="G1093" s="19">
        <f>SUM(H1093:AE1093)/48</f>
        <v>8.3191507504637165</v>
      </c>
      <c r="H1093" s="2">
        <f>H$71*$W$20*H$28^2</f>
        <v>4.5092683260264277</v>
      </c>
      <c r="I1093" s="2">
        <f t="shared" ref="I1093:AE1093" si="373">I$71*$W$20*I$28^2</f>
        <v>15.364310918089604</v>
      </c>
      <c r="J1093" s="2">
        <f t="shared" si="373"/>
        <v>26.050427872883265</v>
      </c>
      <c r="K1093" s="2">
        <f t="shared" si="373"/>
        <v>36.399517373939482</v>
      </c>
      <c r="L1093" s="2">
        <f t="shared" si="373"/>
        <v>45.91027118207402</v>
      </c>
      <c r="M1093" s="2">
        <f t="shared" si="373"/>
        <v>54.749546804544856</v>
      </c>
      <c r="N1093" s="2">
        <f t="shared" si="373"/>
        <v>62.584254360323889</v>
      </c>
      <c r="O1093" s="2">
        <f t="shared" si="373"/>
        <v>69.248794024673487</v>
      </c>
      <c r="P1093" s="2">
        <f t="shared" si="373"/>
        <v>0.18727752960252161</v>
      </c>
      <c r="Q1093" s="2">
        <f t="shared" si="373"/>
        <v>0.19768183900901587</v>
      </c>
      <c r="R1093" s="2">
        <f t="shared" si="373"/>
        <v>0.20517062281948872</v>
      </c>
      <c r="S1093" s="2">
        <f t="shared" si="373"/>
        <v>0.20891425998670138</v>
      </c>
      <c r="T1093" s="2">
        <f t="shared" si="373"/>
        <v>0.20891425998670138</v>
      </c>
      <c r="U1093" s="2">
        <f t="shared" si="373"/>
        <v>0.20517062281948872</v>
      </c>
      <c r="V1093" s="2">
        <f t="shared" si="373"/>
        <v>0.19768183900901587</v>
      </c>
      <c r="W1093" s="2">
        <f t="shared" si="373"/>
        <v>0.18727752960252161</v>
      </c>
      <c r="X1093" s="2">
        <f t="shared" si="373"/>
        <v>0.17312198506168403</v>
      </c>
      <c r="Y1093" s="2">
        <f t="shared" si="373"/>
        <v>0.15646063590081</v>
      </c>
      <c r="Z1093" s="2">
        <f t="shared" si="373"/>
        <v>0.13687386701136239</v>
      </c>
      <c r="AA1093" s="2">
        <f t="shared" si="373"/>
        <v>0.11477567795518526</v>
      </c>
      <c r="AB1093" s="2">
        <f t="shared" si="373"/>
        <v>36.399517373939482</v>
      </c>
      <c r="AC1093" s="2">
        <f t="shared" si="373"/>
        <v>26.050427872883265</v>
      </c>
      <c r="AD1093" s="2">
        <f t="shared" si="373"/>
        <v>15.364310918089604</v>
      </c>
      <c r="AE1093" s="2">
        <f t="shared" si="373"/>
        <v>4.5092683260264277</v>
      </c>
      <c r="AF1093" s="2"/>
    </row>
    <row r="1094" spans="1:33">
      <c r="A1094" s="16"/>
      <c r="B1094" s="5" t="s">
        <v>216</v>
      </c>
      <c r="G1094" s="19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</row>
    <row r="1095" spans="1:33">
      <c r="A1095" s="20" t="s">
        <v>875</v>
      </c>
      <c r="E1095" s="12"/>
      <c r="F1095" s="6"/>
      <c r="G1095" s="19">
        <f>(SUM(H1095:AE1095)+24*$W$24)/48</f>
        <v>204.53098648275002</v>
      </c>
      <c r="H1095" s="2">
        <f>$W$24*(1-H$27)</f>
        <v>272.70798197700003</v>
      </c>
      <c r="I1095" s="2">
        <f t="shared" ref="I1095:AE1095" si="374">$W$24*(1-I$27)</f>
        <v>272.70798197700003</v>
      </c>
      <c r="J1095" s="2">
        <f t="shared" si="374"/>
        <v>272.70798197700003</v>
      </c>
      <c r="K1095" s="2">
        <f t="shared" si="374"/>
        <v>272.70798197700003</v>
      </c>
      <c r="L1095" s="2">
        <f t="shared" si="374"/>
        <v>272.70798197700003</v>
      </c>
      <c r="M1095" s="2">
        <f t="shared" si="374"/>
        <v>272.70798197700003</v>
      </c>
      <c r="N1095" s="2">
        <f t="shared" si="374"/>
        <v>272.70798197700003</v>
      </c>
      <c r="O1095" s="2">
        <f t="shared" si="374"/>
        <v>272.70798197700003</v>
      </c>
      <c r="P1095" s="2">
        <f t="shared" si="374"/>
        <v>0</v>
      </c>
      <c r="Q1095" s="2">
        <f t="shared" si="374"/>
        <v>0</v>
      </c>
      <c r="R1095" s="2">
        <f t="shared" si="374"/>
        <v>0</v>
      </c>
      <c r="S1095" s="2">
        <f t="shared" si="374"/>
        <v>0</v>
      </c>
      <c r="T1095" s="2">
        <f t="shared" si="374"/>
        <v>0</v>
      </c>
      <c r="U1095" s="2">
        <f t="shared" si="374"/>
        <v>0</v>
      </c>
      <c r="V1095" s="2">
        <f t="shared" si="374"/>
        <v>0</v>
      </c>
      <c r="W1095" s="2">
        <f t="shared" si="374"/>
        <v>0</v>
      </c>
      <c r="X1095" s="2">
        <f t="shared" si="374"/>
        <v>0</v>
      </c>
      <c r="Y1095" s="2">
        <f t="shared" si="374"/>
        <v>0</v>
      </c>
      <c r="Z1095" s="2">
        <f t="shared" si="374"/>
        <v>0</v>
      </c>
      <c r="AA1095" s="2">
        <f t="shared" si="374"/>
        <v>0</v>
      </c>
      <c r="AB1095" s="2">
        <f t="shared" si="374"/>
        <v>272.70798197700003</v>
      </c>
      <c r="AC1095" s="2">
        <f t="shared" si="374"/>
        <v>272.70798197700003</v>
      </c>
      <c r="AD1095" s="2">
        <f t="shared" si="374"/>
        <v>272.70798197700003</v>
      </c>
      <c r="AE1095" s="2">
        <f t="shared" si="374"/>
        <v>272.70798197700003</v>
      </c>
      <c r="AF1095" s="2"/>
    </row>
    <row r="1096" spans="1:33">
      <c r="A1096" s="20"/>
      <c r="C1096" s="5" t="s">
        <v>217</v>
      </c>
      <c r="D1096" t="s">
        <v>196</v>
      </c>
      <c r="E1096" s="12"/>
      <c r="F1096" s="6"/>
      <c r="G1096" s="19"/>
      <c r="H1096" s="2" t="s">
        <v>860</v>
      </c>
      <c r="I1096" s="2"/>
      <c r="J1096" s="2"/>
      <c r="K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</row>
    <row r="1097" spans="1:33">
      <c r="A1097" s="20" t="s">
        <v>876</v>
      </c>
      <c r="E1097" s="12">
        <f>$F$7</f>
        <v>-5</v>
      </c>
      <c r="F1097" s="6" t="s">
        <v>558</v>
      </c>
      <c r="G1097" s="19">
        <f>SUM(H1097:AE1097)/48</f>
        <v>73.51128940800001</v>
      </c>
      <c r="H1097" s="2">
        <f t="shared" ref="H1097:AE1097" si="375">$M$9*($F$7+273)^4*H$27</f>
        <v>0</v>
      </c>
      <c r="I1097" s="2">
        <f t="shared" si="375"/>
        <v>0</v>
      </c>
      <c r="J1097" s="2">
        <f t="shared" si="375"/>
        <v>0</v>
      </c>
      <c r="K1097" s="2">
        <f t="shared" si="375"/>
        <v>0</v>
      </c>
      <c r="L1097" s="2">
        <f t="shared" si="375"/>
        <v>0</v>
      </c>
      <c r="M1097" s="2">
        <f t="shared" si="375"/>
        <v>0</v>
      </c>
      <c r="N1097" s="2">
        <f t="shared" si="375"/>
        <v>0</v>
      </c>
      <c r="O1097" s="2">
        <f t="shared" si="375"/>
        <v>0</v>
      </c>
      <c r="P1097" s="2">
        <f t="shared" si="375"/>
        <v>294.04515763199998</v>
      </c>
      <c r="Q1097" s="2">
        <f t="shared" si="375"/>
        <v>294.04515763199998</v>
      </c>
      <c r="R1097" s="2">
        <f t="shared" si="375"/>
        <v>294.04515763199998</v>
      </c>
      <c r="S1097" s="2">
        <f t="shared" si="375"/>
        <v>294.04515763199998</v>
      </c>
      <c r="T1097" s="2">
        <f t="shared" si="375"/>
        <v>294.04515763199998</v>
      </c>
      <c r="U1097" s="2">
        <f t="shared" si="375"/>
        <v>294.04515763199998</v>
      </c>
      <c r="V1097" s="2">
        <f t="shared" si="375"/>
        <v>294.04515763199998</v>
      </c>
      <c r="W1097" s="2">
        <f t="shared" si="375"/>
        <v>294.04515763199998</v>
      </c>
      <c r="X1097" s="2">
        <f t="shared" si="375"/>
        <v>294.04515763199998</v>
      </c>
      <c r="Y1097" s="2">
        <f t="shared" si="375"/>
        <v>294.04515763199998</v>
      </c>
      <c r="Z1097" s="2">
        <f t="shared" si="375"/>
        <v>294.04515763199998</v>
      </c>
      <c r="AA1097" s="2">
        <f t="shared" si="375"/>
        <v>294.04515763199998</v>
      </c>
      <c r="AB1097" s="2">
        <f t="shared" si="375"/>
        <v>0</v>
      </c>
      <c r="AC1097" s="2">
        <f t="shared" si="375"/>
        <v>0</v>
      </c>
      <c r="AD1097" s="2">
        <f t="shared" si="375"/>
        <v>0</v>
      </c>
      <c r="AE1097" s="2">
        <f t="shared" si="375"/>
        <v>0</v>
      </c>
      <c r="AF1097" s="2"/>
    </row>
    <row r="1098" spans="1:33">
      <c r="A1098" s="20"/>
      <c r="B1098" t="s">
        <v>865</v>
      </c>
      <c r="D1098" t="s">
        <v>743</v>
      </c>
      <c r="E1098" s="30"/>
      <c r="F1098" s="6"/>
      <c r="G1098" s="19"/>
      <c r="H1098" t="s">
        <v>617</v>
      </c>
      <c r="I1098" s="2"/>
      <c r="K1098" s="2" t="s">
        <v>860</v>
      </c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</row>
    <row r="1099" spans="1:33">
      <c r="A1099" s="20"/>
      <c r="B1099" s="16" t="s">
        <v>724</v>
      </c>
      <c r="E1099" s="30"/>
      <c r="F1099" s="6"/>
      <c r="G1099" s="32">
        <f>G1091+G1093+G1095+G1097</f>
        <v>304.52243221425118</v>
      </c>
      <c r="H1099" s="33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</row>
    <row r="1100" spans="1:33">
      <c r="A1100" s="39" t="s">
        <v>514</v>
      </c>
      <c r="B1100" s="16"/>
      <c r="E1100" s="30"/>
      <c r="G1100" s="32"/>
      <c r="H1100" s="33"/>
      <c r="I1100" s="3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</row>
    <row r="1101" spans="1:33">
      <c r="A1101" s="3" t="s">
        <v>733</v>
      </c>
      <c r="E1101" s="12"/>
      <c r="F1101" s="6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</row>
    <row r="1102" spans="1:33">
      <c r="A1102" s="3" t="s">
        <v>877</v>
      </c>
      <c r="G1102" s="19">
        <f>SUM(H1102:AE1102)/48</f>
        <v>2.9948961982648918</v>
      </c>
      <c r="H1102" s="24">
        <f>H$71*H$1060*$F$16</f>
        <v>2.7377700550874744</v>
      </c>
      <c r="I1102" s="24">
        <f t="shared" ref="I1102:AE1102" si="376">I$71*I$1060*$F$16</f>
        <v>5.1452238294864516</v>
      </c>
      <c r="J1102" s="24">
        <f t="shared" si="376"/>
        <v>6.0708283953464095</v>
      </c>
      <c r="K1102" s="24">
        <f t="shared" si="376"/>
        <v>6.1393280818032725</v>
      </c>
      <c r="L1102" s="24">
        <f t="shared" si="376"/>
        <v>6.2364530368168385</v>
      </c>
      <c r="M1102" s="24">
        <f t="shared" si="376"/>
        <v>6.4098850525033324</v>
      </c>
      <c r="N1102" s="24">
        <f t="shared" si="376"/>
        <v>6.4385825374582746</v>
      </c>
      <c r="O1102" s="24">
        <f t="shared" si="376"/>
        <v>6.566256199283969</v>
      </c>
      <c r="P1102" s="24">
        <f t="shared" si="376"/>
        <v>6.5901050500980451</v>
      </c>
      <c r="Q1102" s="24">
        <f t="shared" si="376"/>
        <v>6.5580217798789224</v>
      </c>
      <c r="R1102" s="24">
        <f t="shared" si="376"/>
        <v>6.5088939765834697</v>
      </c>
      <c r="S1102" s="24">
        <f t="shared" si="376"/>
        <v>6.4761607640109373</v>
      </c>
      <c r="T1102" s="24">
        <f t="shared" si="376"/>
        <v>6.4761607640109373</v>
      </c>
      <c r="U1102" s="24">
        <f t="shared" si="376"/>
        <v>6.5088939765834697</v>
      </c>
      <c r="V1102" s="24">
        <f t="shared" si="376"/>
        <v>6.5580217798789224</v>
      </c>
      <c r="W1102" s="24">
        <f t="shared" si="376"/>
        <v>6.5901050500980451</v>
      </c>
      <c r="X1102" s="24">
        <f t="shared" si="376"/>
        <v>6.566256199283969</v>
      </c>
      <c r="Y1102" s="24">
        <f t="shared" si="376"/>
        <v>6.4385825374582746</v>
      </c>
      <c r="Z1102" s="24">
        <f t="shared" si="376"/>
        <v>6.4098850525033324</v>
      </c>
      <c r="AA1102" s="24">
        <f t="shared" si="376"/>
        <v>6.2364530368168385</v>
      </c>
      <c r="AB1102" s="24">
        <f t="shared" si="376"/>
        <v>6.1393280818032725</v>
      </c>
      <c r="AC1102" s="24">
        <f t="shared" si="376"/>
        <v>6.0708283953464095</v>
      </c>
      <c r="AD1102" s="24">
        <f t="shared" si="376"/>
        <v>5.1452238294864516</v>
      </c>
      <c r="AE1102" s="24">
        <f t="shared" si="376"/>
        <v>2.7377700550874744</v>
      </c>
      <c r="AF1102" s="2"/>
    </row>
    <row r="1103" spans="1:33">
      <c r="B1103" s="5" t="s">
        <v>197</v>
      </c>
      <c r="D1103" t="s">
        <v>218</v>
      </c>
      <c r="H1103" t="s">
        <v>866</v>
      </c>
      <c r="J1103" s="2"/>
      <c r="K1103" s="2"/>
      <c r="L1103" t="s">
        <v>219</v>
      </c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</row>
    <row r="1104" spans="1:33">
      <c r="A1104" t="s">
        <v>879</v>
      </c>
      <c r="C1104" s="11"/>
      <c r="G1104" s="98">
        <f>SUM(H1104:AE1104)/48</f>
        <v>34.709139891439186</v>
      </c>
      <c r="H1104" s="97">
        <f>H$71*(1-($F$16+$F$13)*H$1060)</f>
        <v>3.6492864381342454</v>
      </c>
      <c r="I1104" s="97">
        <f t="shared" ref="I1104:AE1104" si="377">I$71*(1-($F$16+$F$13)*I$1060)</f>
        <v>16.700887291194686</v>
      </c>
      <c r="J1104" s="97">
        <f t="shared" si="377"/>
        <v>31.02265199800847</v>
      </c>
      <c r="K1104" s="97">
        <f t="shared" si="377"/>
        <v>45.737195890759928</v>
      </c>
      <c r="L1104" s="97">
        <f t="shared" si="377"/>
        <v>59.224919591123999</v>
      </c>
      <c r="M1104" s="97">
        <f t="shared" si="377"/>
        <v>71.675555538653541</v>
      </c>
      <c r="N1104" s="97">
        <f t="shared" si="377"/>
        <v>82.838723469398118</v>
      </c>
      <c r="O1104" s="97">
        <f t="shared" si="377"/>
        <v>92.229267283406756</v>
      </c>
      <c r="P1104" s="97">
        <f t="shared" si="377"/>
        <v>100.29382405034073</v>
      </c>
      <c r="Q1104" s="97">
        <f t="shared" si="377"/>
        <v>106.27186864681808</v>
      </c>
      <c r="R1104" s="97">
        <f t="shared" si="377"/>
        <v>110.60128404073537</v>
      </c>
      <c r="S1104" s="97">
        <f t="shared" si="377"/>
        <v>112.77389315596658</v>
      </c>
      <c r="T1104" s="97">
        <f t="shared" si="377"/>
        <v>112.77389315596658</v>
      </c>
      <c r="U1104" s="97">
        <f t="shared" si="377"/>
        <v>110.60128404073537</v>
      </c>
      <c r="V1104" s="97">
        <f t="shared" si="377"/>
        <v>106.27186864681808</v>
      </c>
      <c r="W1104" s="97">
        <f t="shared" si="377"/>
        <v>100.29382405034073</v>
      </c>
      <c r="X1104" s="97">
        <f t="shared" si="377"/>
        <v>92.229267283406756</v>
      </c>
      <c r="Y1104" s="97">
        <f t="shared" si="377"/>
        <v>82.838723469398118</v>
      </c>
      <c r="Z1104" s="97">
        <f t="shared" si="377"/>
        <v>71.675555538653541</v>
      </c>
      <c r="AA1104" s="97">
        <f t="shared" si="377"/>
        <v>59.224919591123999</v>
      </c>
      <c r="AB1104" s="97">
        <f t="shared" si="377"/>
        <v>45.737195890759928</v>
      </c>
      <c r="AC1104" s="97">
        <f t="shared" si="377"/>
        <v>31.02265199800847</v>
      </c>
      <c r="AD1104" s="97">
        <f t="shared" si="377"/>
        <v>16.700887291194686</v>
      </c>
      <c r="AE1104" s="97">
        <f t="shared" si="377"/>
        <v>3.6492864381342454</v>
      </c>
      <c r="AF1104" s="28"/>
      <c r="AG1104" s="11"/>
    </row>
    <row r="1105" spans="1:33">
      <c r="B1105" s="24" t="s">
        <v>200</v>
      </c>
      <c r="D1105" s="2" t="s">
        <v>201</v>
      </c>
      <c r="E1105" s="106" t="s">
        <v>970</v>
      </c>
      <c r="G1105" t="s">
        <v>853</v>
      </c>
      <c r="I1105" t="s">
        <v>219</v>
      </c>
      <c r="AF1105" s="28"/>
      <c r="AG1105" s="11"/>
    </row>
    <row r="1106" spans="1:33">
      <c r="A1106" t="s">
        <v>878</v>
      </c>
      <c r="C1106" s="11"/>
      <c r="D1106" s="24"/>
      <c r="G1106" s="97">
        <f>SUM(H1106:AE1106)/48</f>
        <v>24.296397924007426</v>
      </c>
      <c r="H1106" s="97">
        <f>H1104*($W$20*(1-H$27)+$F$15*H$27)</f>
        <v>2.5545005066939717</v>
      </c>
      <c r="I1106" s="97">
        <f t="shared" ref="I1106:AE1106" si="378">I1104*($W$20*(1-I$27)+$F$15*I$27)</f>
        <v>11.69062110383628</v>
      </c>
      <c r="J1106" s="97">
        <f t="shared" si="378"/>
        <v>21.715856398605929</v>
      </c>
      <c r="K1106" s="97">
        <f t="shared" si="378"/>
        <v>32.016037123531945</v>
      </c>
      <c r="L1106" s="97">
        <f t="shared" si="378"/>
        <v>41.457443713786795</v>
      </c>
      <c r="M1106" s="97">
        <f t="shared" si="378"/>
        <v>50.172888877057474</v>
      </c>
      <c r="N1106" s="97">
        <f t="shared" si="378"/>
        <v>57.987106428578677</v>
      </c>
      <c r="O1106" s="97">
        <f t="shared" si="378"/>
        <v>64.560487098384726</v>
      </c>
      <c r="P1106" s="97">
        <f t="shared" si="378"/>
        <v>70.205676835238506</v>
      </c>
      <c r="Q1106" s="97">
        <f t="shared" si="378"/>
        <v>74.390308052772653</v>
      </c>
      <c r="R1106" s="97">
        <f t="shared" si="378"/>
        <v>77.420898828514751</v>
      </c>
      <c r="S1106" s="97">
        <f t="shared" si="378"/>
        <v>78.941725209176596</v>
      </c>
      <c r="T1106" s="97">
        <f t="shared" si="378"/>
        <v>78.941725209176596</v>
      </c>
      <c r="U1106" s="97">
        <f t="shared" si="378"/>
        <v>77.420898828514751</v>
      </c>
      <c r="V1106" s="97">
        <f t="shared" si="378"/>
        <v>74.390308052772653</v>
      </c>
      <c r="W1106" s="97">
        <f t="shared" si="378"/>
        <v>70.205676835238506</v>
      </c>
      <c r="X1106" s="97">
        <f t="shared" si="378"/>
        <v>64.560487098384726</v>
      </c>
      <c r="Y1106" s="97">
        <f t="shared" si="378"/>
        <v>57.987106428578677</v>
      </c>
      <c r="Z1106" s="97">
        <f t="shared" si="378"/>
        <v>50.172888877057474</v>
      </c>
      <c r="AA1106" s="97">
        <f t="shared" si="378"/>
        <v>41.457443713786795</v>
      </c>
      <c r="AB1106" s="97">
        <f t="shared" si="378"/>
        <v>32.016037123531945</v>
      </c>
      <c r="AC1106" s="97">
        <f t="shared" si="378"/>
        <v>21.715856398605929</v>
      </c>
      <c r="AD1106" s="97">
        <f t="shared" si="378"/>
        <v>11.69062110383628</v>
      </c>
      <c r="AE1106" s="97">
        <f t="shared" si="378"/>
        <v>2.5545005066939717</v>
      </c>
      <c r="AF1106" s="28"/>
      <c r="AG1106" s="11"/>
    </row>
    <row r="1107" spans="1:33">
      <c r="B1107" s="24" t="s">
        <v>917</v>
      </c>
      <c r="D1107" s="14" t="s">
        <v>202</v>
      </c>
      <c r="G1107" t="s">
        <v>888</v>
      </c>
      <c r="I1107" s="24" t="s">
        <v>220</v>
      </c>
      <c r="M1107" s="2" t="s">
        <v>860</v>
      </c>
      <c r="AF1107" s="28"/>
      <c r="AG1107" s="11"/>
    </row>
    <row r="1108" spans="1:33" ht="18">
      <c r="A1108" s="20" t="s">
        <v>881</v>
      </c>
      <c r="G1108" s="19">
        <f>SUM(H1108:AE1108)/48</f>
        <v>16.843732004155143</v>
      </c>
      <c r="H1108" s="2">
        <f>H$71*H$27*$F$15*(1-H$1060*$F$16)*(1-$H$1061*$F$16)</f>
        <v>0</v>
      </c>
      <c r="I1108" s="2">
        <f t="shared" ref="I1108:AE1108" si="379">I$71*I$27*$F$15*(1-I$1060*$F$16)*(1-$H$1061*$F$16)</f>
        <v>0</v>
      </c>
      <c r="J1108" s="2">
        <f t="shared" si="379"/>
        <v>0</v>
      </c>
      <c r="K1108" s="2">
        <f t="shared" si="379"/>
        <v>0</v>
      </c>
      <c r="L1108" s="2">
        <f t="shared" si="379"/>
        <v>0</v>
      </c>
      <c r="M1108" s="2">
        <f t="shared" si="379"/>
        <v>0</v>
      </c>
      <c r="N1108" s="2">
        <f t="shared" si="379"/>
        <v>0</v>
      </c>
      <c r="O1108" s="2">
        <f t="shared" si="379"/>
        <v>0</v>
      </c>
      <c r="P1108" s="2">
        <f t="shared" si="379"/>
        <v>69.550656919277216</v>
      </c>
      <c r="Q1108" s="2">
        <f t="shared" si="379"/>
        <v>73.690360264525211</v>
      </c>
      <c r="R1108" s="2">
        <f t="shared" si="379"/>
        <v>76.688054765825655</v>
      </c>
      <c r="S1108" s="2">
        <f t="shared" si="379"/>
        <v>78.192261059115182</v>
      </c>
      <c r="T1108" s="2">
        <f t="shared" si="379"/>
        <v>78.192261059115182</v>
      </c>
      <c r="U1108" s="2">
        <f t="shared" si="379"/>
        <v>76.688054765825655</v>
      </c>
      <c r="V1108" s="2">
        <f t="shared" si="379"/>
        <v>73.690360264525211</v>
      </c>
      <c r="W1108" s="2">
        <f t="shared" si="379"/>
        <v>69.550656919277216</v>
      </c>
      <c r="X1108" s="2">
        <f t="shared" si="379"/>
        <v>63.965146363211062</v>
      </c>
      <c r="Y1108" s="2">
        <f t="shared" si="379"/>
        <v>57.459873636804993</v>
      </c>
      <c r="Z1108" s="2">
        <f t="shared" si="379"/>
        <v>49.728325313750567</v>
      </c>
      <c r="AA1108" s="2">
        <f t="shared" si="379"/>
        <v>41.103124868193738</v>
      </c>
      <c r="AB1108" s="2">
        <f t="shared" si="379"/>
        <v>0</v>
      </c>
      <c r="AC1108" s="2">
        <f t="shared" si="379"/>
        <v>0</v>
      </c>
      <c r="AD1108" s="2">
        <f t="shared" si="379"/>
        <v>0</v>
      </c>
      <c r="AE1108" s="2">
        <f t="shared" si="379"/>
        <v>0</v>
      </c>
      <c r="AF1108" s="2"/>
    </row>
    <row r="1109" spans="1:33">
      <c r="B1109" s="5" t="s">
        <v>214</v>
      </c>
      <c r="C1109" s="11"/>
      <c r="D1109" t="s">
        <v>221</v>
      </c>
      <c r="E1109" s="12"/>
      <c r="F1109" s="18"/>
      <c r="G1109" s="2" t="s">
        <v>860</v>
      </c>
      <c r="I1109" s="2" t="s">
        <v>867</v>
      </c>
      <c r="K1109" s="9"/>
      <c r="AF1109" s="2"/>
    </row>
    <row r="1110" spans="1:33">
      <c r="A1110" s="11" t="s">
        <v>568</v>
      </c>
      <c r="B1110" t="s">
        <v>883</v>
      </c>
      <c r="C1110" s="11"/>
      <c r="E1110" s="12"/>
      <c r="F1110" s="18"/>
      <c r="G1110" s="108" t="s">
        <v>222</v>
      </c>
      <c r="H1110" s="2"/>
      <c r="J1110" t="s">
        <v>868</v>
      </c>
      <c r="AF1110" s="2"/>
    </row>
    <row r="1111" spans="1:33">
      <c r="A1111" s="11"/>
      <c r="B1111" t="s">
        <v>223</v>
      </c>
      <c r="C1111" s="11"/>
      <c r="E1111" s="12"/>
      <c r="F1111" s="18"/>
      <c r="G1111" s="19"/>
      <c r="I1111" s="12" t="s">
        <v>858</v>
      </c>
      <c r="K1111" s="11"/>
      <c r="AF1111" s="2"/>
    </row>
    <row r="1112" spans="1:33">
      <c r="A1112" s="11"/>
      <c r="B1112" s="2" t="s">
        <v>224</v>
      </c>
      <c r="C1112" s="11"/>
      <c r="E1112" s="12"/>
      <c r="F1112" s="18"/>
      <c r="G1112" s="19"/>
      <c r="H1112" s="2"/>
      <c r="K1112" s="11"/>
      <c r="L1112" s="12"/>
      <c r="AF1112" s="2"/>
    </row>
    <row r="1113" spans="1:33" ht="18">
      <c r="A1113" s="20" t="s">
        <v>882</v>
      </c>
      <c r="G1113" s="19">
        <f>SUM(H1113:AE1113)/48</f>
        <v>7.2779824344985373</v>
      </c>
      <c r="H1113" s="2">
        <f>H$71*$W$20*H$28^2*(1-H$1060*$F$16)*(1-$H$1061*$F$16)</f>
        <v>2.5652669846152292</v>
      </c>
      <c r="I1113" s="2">
        <f t="shared" ref="I1113:AE1113" si="380">I$71*$W$20*I$28^2*(1-I$1060*$F$16)*(1-$H$1061*$F$16)</f>
        <v>11.637614829733602</v>
      </c>
      <c r="J1113" s="2">
        <f t="shared" si="380"/>
        <v>21.569100546449192</v>
      </c>
      <c r="K1113" s="2">
        <f t="shared" si="380"/>
        <v>31.760737055937405</v>
      </c>
      <c r="L1113" s="2">
        <f t="shared" si="380"/>
        <v>41.103124868193738</v>
      </c>
      <c r="M1113" s="2">
        <f t="shared" si="380"/>
        <v>49.728325313750567</v>
      </c>
      <c r="N1113" s="2">
        <f t="shared" si="380"/>
        <v>57.459873636804993</v>
      </c>
      <c r="O1113" s="2">
        <f t="shared" si="380"/>
        <v>63.965146363211062</v>
      </c>
      <c r="P1113" s="2">
        <f t="shared" si="380"/>
        <v>0.17387664229819336</v>
      </c>
      <c r="Q1113" s="2">
        <f t="shared" si="380"/>
        <v>0.18422590066131336</v>
      </c>
      <c r="R1113" s="2">
        <f t="shared" si="380"/>
        <v>0.19172013691456447</v>
      </c>
      <c r="S1113" s="2">
        <f t="shared" si="380"/>
        <v>0.19548065264778827</v>
      </c>
      <c r="T1113" s="2">
        <f t="shared" si="380"/>
        <v>0.19548065264778827</v>
      </c>
      <c r="U1113" s="2">
        <f t="shared" si="380"/>
        <v>0.19172013691456447</v>
      </c>
      <c r="V1113" s="2">
        <f t="shared" si="380"/>
        <v>0.18422590066131336</v>
      </c>
      <c r="W1113" s="2">
        <f t="shared" si="380"/>
        <v>0.17387664229819336</v>
      </c>
      <c r="X1113" s="2">
        <f t="shared" si="380"/>
        <v>0.15991286590802795</v>
      </c>
      <c r="Y1113" s="2">
        <f t="shared" si="380"/>
        <v>0.14364968409201273</v>
      </c>
      <c r="Z1113" s="2">
        <f t="shared" si="380"/>
        <v>0.12432081328437664</v>
      </c>
      <c r="AA1113" s="2">
        <f t="shared" si="380"/>
        <v>0.10275781217048455</v>
      </c>
      <c r="AB1113" s="2">
        <f t="shared" si="380"/>
        <v>31.760737055937405</v>
      </c>
      <c r="AC1113" s="2">
        <f t="shared" si="380"/>
        <v>21.569100546449192</v>
      </c>
      <c r="AD1113" s="2">
        <f t="shared" si="380"/>
        <v>11.637614829733602</v>
      </c>
      <c r="AE1113" s="2">
        <f t="shared" si="380"/>
        <v>2.5652669846152292</v>
      </c>
      <c r="AF1113" s="2"/>
    </row>
    <row r="1114" spans="1:33">
      <c r="A1114" s="14"/>
      <c r="B1114" s="5" t="s">
        <v>12</v>
      </c>
      <c r="G1114" s="2"/>
      <c r="H1114" s="2"/>
      <c r="I1114" s="2"/>
      <c r="J1114" s="10"/>
      <c r="K1114" s="9"/>
      <c r="AF1114" s="2"/>
    </row>
    <row r="1115" spans="1:33">
      <c r="A1115" s="11" t="s">
        <v>568</v>
      </c>
      <c r="B1115" t="s">
        <v>726</v>
      </c>
      <c r="C1115" s="11"/>
      <c r="E1115" s="12"/>
      <c r="F1115" s="18"/>
      <c r="G1115" s="28" t="s">
        <v>222</v>
      </c>
      <c r="H1115" s="2"/>
      <c r="J1115" s="11"/>
      <c r="K1115" t="s">
        <v>868</v>
      </c>
      <c r="M1115" s="10"/>
      <c r="N1115" s="10"/>
      <c r="AF1115" s="2"/>
    </row>
    <row r="1116" spans="1:33">
      <c r="A1116" s="11"/>
      <c r="B1116" t="s">
        <v>223</v>
      </c>
      <c r="C1116" s="11"/>
      <c r="E1116" s="12"/>
      <c r="F1116" s="18"/>
      <c r="G1116" s="19"/>
      <c r="H1116" s="2"/>
      <c r="J1116" s="11"/>
      <c r="M1116" s="10"/>
      <c r="N1116" s="10"/>
      <c r="AF1116" s="2"/>
    </row>
    <row r="1117" spans="1:33">
      <c r="A1117" t="s">
        <v>834</v>
      </c>
      <c r="B1117" s="5"/>
      <c r="C1117" s="11"/>
      <c r="D1117" s="5" t="s">
        <v>206</v>
      </c>
      <c r="F1117" t="s">
        <v>225</v>
      </c>
      <c r="G1117" s="97">
        <f>SUM(H1117:AE1117)/48</f>
        <v>0.25827565315704387</v>
      </c>
      <c r="H1117" s="97">
        <f>H1106*$H$1061*$F$16</f>
        <v>2.715486011218423E-2</v>
      </c>
      <c r="I1117" s="97">
        <f t="shared" ref="I1117:AE1117" si="381">I1106*$H$1061*$F$16</f>
        <v>0.12427368084967627</v>
      </c>
      <c r="J1117" s="97">
        <f t="shared" si="381"/>
        <v>0.23084397171782187</v>
      </c>
      <c r="K1117" s="97">
        <f t="shared" si="381"/>
        <v>0.34033698844756577</v>
      </c>
      <c r="L1117" s="97">
        <f t="shared" si="381"/>
        <v>0.44070106140382098</v>
      </c>
      <c r="M1117" s="97">
        <f t="shared" si="381"/>
        <v>0.5333480166907163</v>
      </c>
      <c r="N1117" s="97">
        <f t="shared" si="381"/>
        <v>0.61641473910540634</v>
      </c>
      <c r="O1117" s="97">
        <f t="shared" si="381"/>
        <v>0.68629111301293488</v>
      </c>
      <c r="P1117" s="97">
        <f t="shared" si="381"/>
        <v>0.74630062845804856</v>
      </c>
      <c r="Q1117" s="97">
        <f t="shared" si="381"/>
        <v>0.79078410968478841</v>
      </c>
      <c r="R1117" s="97">
        <f t="shared" si="381"/>
        <v>0.82299990621992358</v>
      </c>
      <c r="S1117" s="97">
        <f t="shared" si="381"/>
        <v>0.83916660006616572</v>
      </c>
      <c r="T1117" s="97">
        <f t="shared" si="381"/>
        <v>0.83916660006616572</v>
      </c>
      <c r="U1117" s="97">
        <f t="shared" si="381"/>
        <v>0.82299990621992358</v>
      </c>
      <c r="V1117" s="97">
        <f t="shared" si="381"/>
        <v>0.79078410968478841</v>
      </c>
      <c r="W1117" s="97">
        <f t="shared" si="381"/>
        <v>0.74630062845804856</v>
      </c>
      <c r="X1117" s="97">
        <f t="shared" si="381"/>
        <v>0.68629111301293488</v>
      </c>
      <c r="Y1117" s="97">
        <f t="shared" si="381"/>
        <v>0.61641473910540634</v>
      </c>
      <c r="Z1117" s="97">
        <f t="shared" si="381"/>
        <v>0.5333480166907163</v>
      </c>
      <c r="AA1117" s="97">
        <f t="shared" si="381"/>
        <v>0.44070106140382098</v>
      </c>
      <c r="AB1117" s="97">
        <f t="shared" si="381"/>
        <v>0.34033698844756577</v>
      </c>
      <c r="AC1117" s="97">
        <f t="shared" si="381"/>
        <v>0.23084397171782187</v>
      </c>
      <c r="AD1117" s="97">
        <f t="shared" si="381"/>
        <v>0.12427368084967627</v>
      </c>
      <c r="AE1117" s="97">
        <f t="shared" si="381"/>
        <v>2.715486011218423E-2</v>
      </c>
      <c r="AF1117" s="28"/>
      <c r="AG1117" s="11"/>
    </row>
    <row r="1118" spans="1:33">
      <c r="A1118" t="s">
        <v>918</v>
      </c>
      <c r="B1118" s="5"/>
      <c r="C1118" s="11"/>
      <c r="D1118" s="104" t="s">
        <v>226</v>
      </c>
      <c r="G1118" s="97">
        <f>SUM(H1118:AE1118)/48</f>
        <v>0.18079295720993069</v>
      </c>
      <c r="H1118" s="97">
        <f>H1117*($W$20*(1-H$27)+$F$15*H$27)</f>
        <v>1.9008402078528958E-2</v>
      </c>
      <c r="I1118" s="97">
        <f t="shared" ref="I1118:AE1118" si="382">I1117*($W$20*(1-I$27)+$F$15*I$27)</f>
        <v>8.6991576594773384E-2</v>
      </c>
      <c r="J1118" s="97">
        <f t="shared" si="382"/>
        <v>0.1615907802024753</v>
      </c>
      <c r="K1118" s="97">
        <f t="shared" si="382"/>
        <v>0.23823589191329603</v>
      </c>
      <c r="L1118" s="97">
        <f t="shared" si="382"/>
        <v>0.30849074298267465</v>
      </c>
      <c r="M1118" s="97">
        <f t="shared" si="382"/>
        <v>0.37334361168350139</v>
      </c>
      <c r="N1118" s="97">
        <f t="shared" si="382"/>
        <v>0.4314903173737844</v>
      </c>
      <c r="O1118" s="97">
        <f t="shared" si="382"/>
        <v>0.48040377910905441</v>
      </c>
      <c r="P1118" s="97">
        <f t="shared" si="382"/>
        <v>0.52241043992063396</v>
      </c>
      <c r="Q1118" s="97">
        <f t="shared" si="382"/>
        <v>0.55354887677935183</v>
      </c>
      <c r="R1118" s="97">
        <f t="shared" si="382"/>
        <v>0.57609993435394646</v>
      </c>
      <c r="S1118" s="97">
        <f t="shared" si="382"/>
        <v>0.58741662004631601</v>
      </c>
      <c r="T1118" s="97">
        <f t="shared" si="382"/>
        <v>0.58741662004631601</v>
      </c>
      <c r="U1118" s="97">
        <f t="shared" si="382"/>
        <v>0.57609993435394646</v>
      </c>
      <c r="V1118" s="97">
        <f t="shared" si="382"/>
        <v>0.55354887677935183</v>
      </c>
      <c r="W1118" s="97">
        <f t="shared" si="382"/>
        <v>0.52241043992063396</v>
      </c>
      <c r="X1118" s="97">
        <f t="shared" si="382"/>
        <v>0.48040377910905441</v>
      </c>
      <c r="Y1118" s="97">
        <f t="shared" si="382"/>
        <v>0.4314903173737844</v>
      </c>
      <c r="Z1118" s="97">
        <f t="shared" si="382"/>
        <v>0.37334361168350139</v>
      </c>
      <c r="AA1118" s="97">
        <f t="shared" si="382"/>
        <v>0.30849074298267465</v>
      </c>
      <c r="AB1118" s="97">
        <f t="shared" si="382"/>
        <v>0.23823589191329603</v>
      </c>
      <c r="AC1118" s="97">
        <f t="shared" si="382"/>
        <v>0.1615907802024753</v>
      </c>
      <c r="AD1118" s="97">
        <f t="shared" si="382"/>
        <v>8.6991576594773384E-2</v>
      </c>
      <c r="AE1118" s="97">
        <f t="shared" si="382"/>
        <v>1.9008402078528958E-2</v>
      </c>
      <c r="AF1118" s="28"/>
      <c r="AG1118" s="11"/>
    </row>
    <row r="1119" spans="1:33">
      <c r="A1119" s="20" t="s">
        <v>835</v>
      </c>
      <c r="B1119" s="5"/>
      <c r="C1119" s="11"/>
      <c r="G1119" s="19">
        <f>SUM(H1119:AE1119)/48</f>
        <v>0.1788326539731814</v>
      </c>
      <c r="H1119" s="24">
        <f>H1118*(1-($F$16+$F$13)*$H$1061)</f>
        <v>1.8802297633449806E-2</v>
      </c>
      <c r="I1119" s="24">
        <f t="shared" ref="I1119:AE1119" si="383">I1118*(1-($F$16+$F$13)*$H$1061)</f>
        <v>8.6048343673533853E-2</v>
      </c>
      <c r="J1119" s="24">
        <f t="shared" si="383"/>
        <v>0.15983868247506255</v>
      </c>
      <c r="K1119" s="24">
        <f t="shared" si="383"/>
        <v>0.23565274599193581</v>
      </c>
      <c r="L1119" s="24">
        <f t="shared" si="383"/>
        <v>0.30514583723353128</v>
      </c>
      <c r="M1119" s="24">
        <f t="shared" si="383"/>
        <v>0.36929551876164596</v>
      </c>
      <c r="N1119" s="24">
        <f t="shared" si="383"/>
        <v>0.42681175091396584</v>
      </c>
      <c r="O1119" s="24">
        <f t="shared" si="383"/>
        <v>0.47519485339830037</v>
      </c>
      <c r="P1119" s="24">
        <f t="shared" si="383"/>
        <v>0.51674604407196767</v>
      </c>
      <c r="Q1119" s="24">
        <f t="shared" si="383"/>
        <v>0.54754685285322358</v>
      </c>
      <c r="R1119" s="24">
        <f t="shared" si="383"/>
        <v>0.56985339365107079</v>
      </c>
      <c r="S1119" s="24">
        <f t="shared" si="383"/>
        <v>0.58104737469866674</v>
      </c>
      <c r="T1119" s="24">
        <f t="shared" si="383"/>
        <v>0.58104737469866674</v>
      </c>
      <c r="U1119" s="24">
        <f t="shared" si="383"/>
        <v>0.56985339365107079</v>
      </c>
      <c r="V1119" s="24">
        <f t="shared" si="383"/>
        <v>0.54754685285322358</v>
      </c>
      <c r="W1119" s="24">
        <f t="shared" si="383"/>
        <v>0.51674604407196767</v>
      </c>
      <c r="X1119" s="24">
        <f t="shared" si="383"/>
        <v>0.47519485339830037</v>
      </c>
      <c r="Y1119" s="24">
        <f t="shared" si="383"/>
        <v>0.42681175091396584</v>
      </c>
      <c r="Z1119" s="24">
        <f t="shared" si="383"/>
        <v>0.36929551876164596</v>
      </c>
      <c r="AA1119" s="24">
        <f t="shared" si="383"/>
        <v>0.30514583723353128</v>
      </c>
      <c r="AB1119" s="24">
        <f t="shared" si="383"/>
        <v>0.23565274599193581</v>
      </c>
      <c r="AC1119" s="24">
        <f t="shared" si="383"/>
        <v>0.15983868247506255</v>
      </c>
      <c r="AD1119" s="24">
        <f t="shared" si="383"/>
        <v>8.6048343673533853E-2</v>
      </c>
      <c r="AE1119" s="24">
        <f t="shared" si="383"/>
        <v>1.8802297633449806E-2</v>
      </c>
      <c r="AF1119" s="28"/>
      <c r="AG1119" s="11"/>
    </row>
    <row r="1120" spans="1:33">
      <c r="A1120" s="20"/>
      <c r="B1120" s="24" t="s">
        <v>227</v>
      </c>
      <c r="C1120" s="11"/>
      <c r="G1120" s="19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8"/>
      <c r="AG1120" s="11"/>
    </row>
    <row r="1121" spans="1:33">
      <c r="A1121" s="100" t="s">
        <v>836</v>
      </c>
      <c r="B1121" s="5"/>
      <c r="C1121" s="11"/>
      <c r="G1121" s="19">
        <f>SUM(H1121:AE1121)/48</f>
        <v>1.3258247442477203E-3</v>
      </c>
      <c r="H1121" s="2">
        <f>H1119^2/(H1108+H1113)</f>
        <v>1.3781271049643142E-4</v>
      </c>
      <c r="I1121" s="2">
        <f t="shared" ref="I1121:AE1121" si="384">I1119^2/(I1108+I1113)</f>
        <v>6.3624011941354876E-4</v>
      </c>
      <c r="J1121" s="2">
        <f t="shared" si="384"/>
        <v>1.1844909508556102E-3</v>
      </c>
      <c r="K1121" s="2">
        <f t="shared" si="384"/>
        <v>1.7484549113496891E-3</v>
      </c>
      <c r="L1121" s="2">
        <f t="shared" si="384"/>
        <v>2.2653747684523583E-3</v>
      </c>
      <c r="M1121" s="2">
        <f t="shared" si="384"/>
        <v>2.7424848779237388E-3</v>
      </c>
      <c r="N1121" s="2">
        <f t="shared" si="384"/>
        <v>3.1703562710510428E-3</v>
      </c>
      <c r="O1121" s="2">
        <f t="shared" si="384"/>
        <v>3.5302060815123014E-3</v>
      </c>
      <c r="P1121" s="2">
        <f t="shared" si="384"/>
        <v>3.8297348210757187E-3</v>
      </c>
      <c r="Q1121" s="2">
        <f t="shared" si="384"/>
        <v>4.0583314456623552E-3</v>
      </c>
      <c r="R1121" s="2">
        <f t="shared" si="384"/>
        <v>4.2239053205665377E-3</v>
      </c>
      <c r="S1121" s="2">
        <f t="shared" si="384"/>
        <v>4.3070006135098255E-3</v>
      </c>
      <c r="T1121" s="2">
        <f t="shared" si="384"/>
        <v>4.3070006135098255E-3</v>
      </c>
      <c r="U1121" s="2">
        <f t="shared" si="384"/>
        <v>4.2239053205665377E-3</v>
      </c>
      <c r="V1121" s="2">
        <f t="shared" si="384"/>
        <v>4.0583314456623552E-3</v>
      </c>
      <c r="W1121" s="2">
        <f t="shared" si="384"/>
        <v>3.8297348210757187E-3</v>
      </c>
      <c r="X1121" s="2">
        <f t="shared" si="384"/>
        <v>3.521402575074615E-3</v>
      </c>
      <c r="Y1121" s="2">
        <f t="shared" si="384"/>
        <v>3.1624501456868261E-3</v>
      </c>
      <c r="Z1121" s="2">
        <f t="shared" si="384"/>
        <v>2.7356457635149514E-3</v>
      </c>
      <c r="AA1121" s="2">
        <f t="shared" si="384"/>
        <v>2.2597254548153197E-3</v>
      </c>
      <c r="AB1121" s="2">
        <f t="shared" si="384"/>
        <v>1.7484549113496891E-3</v>
      </c>
      <c r="AC1121" s="2">
        <f t="shared" si="384"/>
        <v>1.1844909508556102E-3</v>
      </c>
      <c r="AD1121" s="2">
        <f t="shared" si="384"/>
        <v>6.3624011941354876E-4</v>
      </c>
      <c r="AE1121" s="2">
        <f t="shared" si="384"/>
        <v>1.3781271049643142E-4</v>
      </c>
      <c r="AF1121" s="28"/>
      <c r="AG1121" s="11"/>
    </row>
    <row r="1122" spans="1:33" ht="18">
      <c r="A1122" s="100"/>
      <c r="B1122" s="24" t="s">
        <v>228</v>
      </c>
      <c r="C1122" s="11"/>
      <c r="G1122" s="19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8"/>
      <c r="AG1122" s="11"/>
    </row>
    <row r="1123" spans="1:33" ht="18">
      <c r="A1123" s="20" t="s">
        <v>890</v>
      </c>
      <c r="G1123" s="19">
        <f>(SUM(H1123:AE1123)+24*$W$24*(1-$H$1061))/48</f>
        <v>200.18257448440275</v>
      </c>
      <c r="H1123" s="2">
        <f>$W$24*(1-H$27)*(1-$H$1061)</f>
        <v>266.910099312537</v>
      </c>
      <c r="I1123" s="2">
        <f t="shared" ref="I1123:AE1123" si="385">$W$24*(1-I$27)*(1-$H$1061)</f>
        <v>266.910099312537</v>
      </c>
      <c r="J1123" s="2">
        <f t="shared" si="385"/>
        <v>266.910099312537</v>
      </c>
      <c r="K1123" s="2">
        <f t="shared" si="385"/>
        <v>266.910099312537</v>
      </c>
      <c r="L1123" s="2">
        <f t="shared" si="385"/>
        <v>266.910099312537</v>
      </c>
      <c r="M1123" s="2">
        <f t="shared" si="385"/>
        <v>266.910099312537</v>
      </c>
      <c r="N1123" s="2">
        <f t="shared" si="385"/>
        <v>266.910099312537</v>
      </c>
      <c r="O1123" s="2">
        <f t="shared" si="385"/>
        <v>266.910099312537</v>
      </c>
      <c r="P1123" s="2">
        <f t="shared" si="385"/>
        <v>0</v>
      </c>
      <c r="Q1123" s="2">
        <f t="shared" si="385"/>
        <v>0</v>
      </c>
      <c r="R1123" s="2">
        <f t="shared" si="385"/>
        <v>0</v>
      </c>
      <c r="S1123" s="2">
        <f t="shared" si="385"/>
        <v>0</v>
      </c>
      <c r="T1123" s="2">
        <f t="shared" si="385"/>
        <v>0</v>
      </c>
      <c r="U1123" s="2">
        <f t="shared" si="385"/>
        <v>0</v>
      </c>
      <c r="V1123" s="2">
        <f t="shared" si="385"/>
        <v>0</v>
      </c>
      <c r="W1123" s="2">
        <f t="shared" si="385"/>
        <v>0</v>
      </c>
      <c r="X1123" s="2">
        <f t="shared" si="385"/>
        <v>0</v>
      </c>
      <c r="Y1123" s="2">
        <f t="shared" si="385"/>
        <v>0</v>
      </c>
      <c r="Z1123" s="2">
        <f t="shared" si="385"/>
        <v>0</v>
      </c>
      <c r="AA1123" s="2">
        <f t="shared" si="385"/>
        <v>0</v>
      </c>
      <c r="AB1123" s="2">
        <f t="shared" si="385"/>
        <v>266.910099312537</v>
      </c>
      <c r="AC1123" s="2">
        <f t="shared" si="385"/>
        <v>266.910099312537</v>
      </c>
      <c r="AD1123" s="2">
        <f t="shared" si="385"/>
        <v>266.910099312537</v>
      </c>
      <c r="AE1123" s="2">
        <f t="shared" si="385"/>
        <v>266.910099312537</v>
      </c>
      <c r="AF1123" s="2"/>
    </row>
    <row r="1124" spans="1:33">
      <c r="A1124" s="14"/>
      <c r="B1124" s="5" t="s">
        <v>229</v>
      </c>
      <c r="D1124" t="s">
        <v>230</v>
      </c>
      <c r="E1124" s="12"/>
      <c r="F1124" s="6"/>
      <c r="G1124" s="2" t="s">
        <v>860</v>
      </c>
      <c r="I1124" s="2" t="s">
        <v>231</v>
      </c>
      <c r="J1124" s="10"/>
      <c r="K1124" s="9"/>
      <c r="AF1124" s="2"/>
    </row>
    <row r="1125" spans="1:33" ht="18">
      <c r="A1125" s="20" t="s">
        <v>891</v>
      </c>
      <c r="D1125" s="105" t="s">
        <v>892</v>
      </c>
      <c r="E1125">
        <f>$F$7</f>
        <v>-5</v>
      </c>
      <c r="F1125" s="5" t="s">
        <v>893</v>
      </c>
      <c r="G1125" s="19">
        <f>SUM(H1125:AE1125)/48</f>
        <v>71.948409482699844</v>
      </c>
      <c r="H1125" s="2">
        <f t="shared" ref="H1125:AE1125" si="386">$M$9*($F$7+273)^4*H$27*(1-$H$1061)</f>
        <v>0</v>
      </c>
      <c r="I1125" s="2">
        <f t="shared" si="386"/>
        <v>0</v>
      </c>
      <c r="J1125" s="2">
        <f t="shared" si="386"/>
        <v>0</v>
      </c>
      <c r="K1125" s="2">
        <f t="shared" si="386"/>
        <v>0</v>
      </c>
      <c r="L1125" s="2">
        <f t="shared" si="386"/>
        <v>0</v>
      </c>
      <c r="M1125" s="2">
        <f t="shared" si="386"/>
        <v>0</v>
      </c>
      <c r="N1125" s="2">
        <f t="shared" si="386"/>
        <v>0</v>
      </c>
      <c r="O1125" s="2">
        <f t="shared" si="386"/>
        <v>0</v>
      </c>
      <c r="P1125" s="2">
        <f t="shared" si="386"/>
        <v>287.79363793079938</v>
      </c>
      <c r="Q1125" s="2">
        <f t="shared" si="386"/>
        <v>287.79363793079938</v>
      </c>
      <c r="R1125" s="2">
        <f t="shared" si="386"/>
        <v>287.79363793079938</v>
      </c>
      <c r="S1125" s="2">
        <f t="shared" si="386"/>
        <v>287.79363793079938</v>
      </c>
      <c r="T1125" s="2">
        <f t="shared" si="386"/>
        <v>287.79363793079938</v>
      </c>
      <c r="U1125" s="2">
        <f t="shared" si="386"/>
        <v>287.79363793079938</v>
      </c>
      <c r="V1125" s="2">
        <f t="shared" si="386"/>
        <v>287.79363793079938</v>
      </c>
      <c r="W1125" s="2">
        <f t="shared" si="386"/>
        <v>287.79363793079938</v>
      </c>
      <c r="X1125" s="2">
        <f t="shared" si="386"/>
        <v>287.79363793079938</v>
      </c>
      <c r="Y1125" s="2">
        <f t="shared" si="386"/>
        <v>287.79363793079938</v>
      </c>
      <c r="Z1125" s="2">
        <f t="shared" si="386"/>
        <v>287.79363793079938</v>
      </c>
      <c r="AA1125" s="2">
        <f t="shared" si="386"/>
        <v>287.79363793079938</v>
      </c>
      <c r="AB1125" s="2">
        <f t="shared" si="386"/>
        <v>0</v>
      </c>
      <c r="AC1125" s="2">
        <f t="shared" si="386"/>
        <v>0</v>
      </c>
      <c r="AD1125" s="2">
        <f t="shared" si="386"/>
        <v>0</v>
      </c>
      <c r="AE1125" s="2">
        <f t="shared" si="386"/>
        <v>0</v>
      </c>
      <c r="AF1125" s="2"/>
    </row>
    <row r="1126" spans="1:33">
      <c r="A1126" s="14"/>
      <c r="B1126" t="s">
        <v>232</v>
      </c>
      <c r="D1126" t="s">
        <v>744</v>
      </c>
      <c r="E1126" s="30"/>
      <c r="F1126" t="s">
        <v>618</v>
      </c>
      <c r="H1126" s="2" t="s">
        <v>860</v>
      </c>
      <c r="I1126" s="2"/>
      <c r="J1126" s="2" t="s">
        <v>233</v>
      </c>
      <c r="K1126" s="9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</row>
    <row r="1127" spans="1:33">
      <c r="A1127" s="20" t="s">
        <v>914</v>
      </c>
      <c r="B1127" s="11"/>
      <c r="C1127" s="11"/>
      <c r="D1127" s="11"/>
      <c r="E1127" s="27"/>
      <c r="F1127" s="6"/>
      <c r="G1127" s="19">
        <f>SUM(H1127:AE1127)/24</f>
        <v>2.5618512323568008</v>
      </c>
      <c r="H1127" s="24">
        <f t="shared" ref="H1127:AE1127" si="387">$M$9*($F$9+273)^4*$F$10*$F$18</f>
        <v>2.5618512323567995</v>
      </c>
      <c r="I1127" s="24">
        <f t="shared" si="387"/>
        <v>2.5618512323567995</v>
      </c>
      <c r="J1127" s="24">
        <f t="shared" si="387"/>
        <v>2.5618512323567995</v>
      </c>
      <c r="K1127" s="24">
        <f t="shared" si="387"/>
        <v>2.5618512323567995</v>
      </c>
      <c r="L1127" s="24">
        <f t="shared" si="387"/>
        <v>2.5618512323567995</v>
      </c>
      <c r="M1127" s="24">
        <f t="shared" si="387"/>
        <v>2.5618512323567995</v>
      </c>
      <c r="N1127" s="24">
        <f t="shared" si="387"/>
        <v>2.5618512323567995</v>
      </c>
      <c r="O1127" s="24">
        <f t="shared" si="387"/>
        <v>2.5618512323567995</v>
      </c>
      <c r="P1127" s="24">
        <f t="shared" si="387"/>
        <v>2.5618512323567995</v>
      </c>
      <c r="Q1127" s="24">
        <f t="shared" si="387"/>
        <v>2.5618512323567995</v>
      </c>
      <c r="R1127" s="24">
        <f t="shared" si="387"/>
        <v>2.5618512323567995</v>
      </c>
      <c r="S1127" s="24">
        <f t="shared" si="387"/>
        <v>2.5618512323567995</v>
      </c>
      <c r="T1127" s="24">
        <f t="shared" si="387"/>
        <v>2.5618512323567995</v>
      </c>
      <c r="U1127" s="24">
        <f t="shared" si="387"/>
        <v>2.5618512323567995</v>
      </c>
      <c r="V1127" s="24">
        <f t="shared" si="387"/>
        <v>2.5618512323567995</v>
      </c>
      <c r="W1127" s="24">
        <f t="shared" si="387"/>
        <v>2.5618512323567995</v>
      </c>
      <c r="X1127" s="24">
        <f t="shared" si="387"/>
        <v>2.5618512323567995</v>
      </c>
      <c r="Y1127" s="24">
        <f t="shared" si="387"/>
        <v>2.5618512323567995</v>
      </c>
      <c r="Z1127" s="24">
        <f t="shared" si="387"/>
        <v>2.5618512323567995</v>
      </c>
      <c r="AA1127" s="24">
        <f t="shared" si="387"/>
        <v>2.5618512323567995</v>
      </c>
      <c r="AB1127" s="24">
        <f t="shared" si="387"/>
        <v>2.5618512323567995</v>
      </c>
      <c r="AC1127" s="24">
        <f t="shared" si="387"/>
        <v>2.5618512323567995</v>
      </c>
      <c r="AD1127" s="24">
        <f t="shared" si="387"/>
        <v>2.5618512323567995</v>
      </c>
      <c r="AE1127" s="24">
        <f t="shared" si="387"/>
        <v>2.5618512323567995</v>
      </c>
      <c r="AF1127" s="28"/>
      <c r="AG1127" s="11"/>
    </row>
    <row r="1128" spans="1:33">
      <c r="A1128" s="20"/>
      <c r="B1128" s="5" t="s">
        <v>923</v>
      </c>
      <c r="C1128" s="11"/>
      <c r="D1128" t="s">
        <v>743</v>
      </c>
      <c r="E1128" s="27"/>
      <c r="F1128" s="6"/>
      <c r="G1128" s="28"/>
      <c r="H1128" t="s">
        <v>717</v>
      </c>
      <c r="I1128" s="29"/>
      <c r="J1128" s="11"/>
      <c r="K1128" s="2" t="s">
        <v>719</v>
      </c>
      <c r="L1128" s="11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  <c r="AE1128" s="28"/>
      <c r="AF1128" s="28"/>
      <c r="AG1128" s="11"/>
    </row>
    <row r="1129" spans="1:33">
      <c r="A1129" s="20"/>
      <c r="B1129" s="27" t="s">
        <v>925</v>
      </c>
      <c r="C1129" s="11" t="s">
        <v>924</v>
      </c>
      <c r="E1129" s="27"/>
      <c r="F1129" s="6"/>
      <c r="G1129" s="28"/>
      <c r="I1129" s="29"/>
      <c r="J1129" s="11"/>
      <c r="K1129" s="2"/>
      <c r="L1129" s="11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  <c r="AE1129" s="28"/>
      <c r="AF1129" s="28"/>
      <c r="AG1129" s="11"/>
    </row>
    <row r="1130" spans="1:33">
      <c r="A1130" s="20"/>
      <c r="B1130" s="14"/>
      <c r="C1130" t="s">
        <v>926</v>
      </c>
      <c r="E1130" s="27"/>
      <c r="F1130" s="6"/>
      <c r="G1130" s="28"/>
      <c r="I1130" s="29"/>
      <c r="J1130" s="11"/>
      <c r="K1130" s="2"/>
      <c r="L1130" s="11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8"/>
      <c r="AF1130" s="28"/>
      <c r="AG1130" s="11"/>
    </row>
    <row r="1131" spans="1:33">
      <c r="A1131" s="3"/>
      <c r="B1131" s="16" t="s">
        <v>741</v>
      </c>
      <c r="E1131" s="12"/>
      <c r="F1131" s="6"/>
      <c r="G1131" s="32">
        <f>G1102+G1108+G1113+G1119+G1121+G1123+G1125+G1127</f>
        <v>301.98960431509539</v>
      </c>
      <c r="H1131" s="2"/>
      <c r="I1131" s="29"/>
      <c r="K1131" s="10"/>
      <c r="L1131" s="3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</row>
    <row r="1132" spans="1:33">
      <c r="A1132" s="20"/>
      <c r="B1132" s="16" t="s">
        <v>725</v>
      </c>
      <c r="E1132" s="30"/>
      <c r="F1132" s="6"/>
      <c r="G1132" s="32">
        <f>G1099-G1131</f>
        <v>2.5328278991557909</v>
      </c>
      <c r="H1132" s="33"/>
      <c r="I1132" s="86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</row>
    <row r="1133" spans="1:33">
      <c r="A1133" s="39" t="s">
        <v>514</v>
      </c>
      <c r="B1133" s="16"/>
      <c r="E1133" s="30"/>
      <c r="F1133" s="12"/>
      <c r="G1133" s="32"/>
      <c r="H1133" s="33"/>
      <c r="I1133" s="3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</row>
    <row r="1134" spans="1:33">
      <c r="A1134" s="3" t="s">
        <v>977</v>
      </c>
      <c r="E1134" s="12"/>
      <c r="F1134" s="6"/>
      <c r="G1134" s="87" t="s">
        <v>535</v>
      </c>
      <c r="H1134" s="21"/>
      <c r="I1134" s="2"/>
      <c r="J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</row>
    <row r="1135" spans="1:33">
      <c r="A1135" s="20" t="s">
        <v>935</v>
      </c>
      <c r="B1135" s="11"/>
      <c r="C1135" s="11"/>
      <c r="E1135" s="14" t="s">
        <v>563</v>
      </c>
      <c r="F1135" s="31">
        <f>$F$15</f>
        <v>0.7</v>
      </c>
      <c r="G1135" s="19">
        <f>SUM(H1135:AE1135)/48</f>
        <v>26.434753809568562</v>
      </c>
      <c r="H1135" s="2">
        <f>H$71*$F$15</f>
        <v>4.5092683260264277</v>
      </c>
      <c r="I1135" s="2">
        <f t="shared" ref="I1135:AE1135" si="388">I$71*$F$15</f>
        <v>15.364310918089604</v>
      </c>
      <c r="J1135" s="2">
        <f t="shared" si="388"/>
        <v>26.050427872883265</v>
      </c>
      <c r="K1135" s="2">
        <f t="shared" si="388"/>
        <v>36.399517373939482</v>
      </c>
      <c r="L1135" s="2">
        <f t="shared" si="388"/>
        <v>45.91027118207402</v>
      </c>
      <c r="M1135" s="2">
        <f t="shared" si="388"/>
        <v>54.749546804544856</v>
      </c>
      <c r="N1135" s="2">
        <f t="shared" si="388"/>
        <v>62.584254360323889</v>
      </c>
      <c r="O1135" s="2">
        <f t="shared" si="388"/>
        <v>69.248794024673487</v>
      </c>
      <c r="P1135" s="2">
        <f t="shared" si="388"/>
        <v>74.911011841008516</v>
      </c>
      <c r="Q1135" s="2">
        <f t="shared" si="388"/>
        <v>79.072735603606205</v>
      </c>
      <c r="R1135" s="2">
        <f t="shared" si="388"/>
        <v>82.06824912779534</v>
      </c>
      <c r="S1135" s="2">
        <f t="shared" si="388"/>
        <v>83.565703994680405</v>
      </c>
      <c r="T1135" s="2">
        <f t="shared" si="388"/>
        <v>83.565703994680405</v>
      </c>
      <c r="U1135" s="2">
        <f t="shared" si="388"/>
        <v>82.06824912779534</v>
      </c>
      <c r="V1135" s="2">
        <f t="shared" si="388"/>
        <v>79.072735603606205</v>
      </c>
      <c r="W1135" s="2">
        <f t="shared" si="388"/>
        <v>74.911011841008516</v>
      </c>
      <c r="X1135" s="2">
        <f t="shared" si="388"/>
        <v>69.248794024673487</v>
      </c>
      <c r="Y1135" s="2">
        <f t="shared" si="388"/>
        <v>62.584254360323889</v>
      </c>
      <c r="Z1135" s="2">
        <f t="shared" si="388"/>
        <v>54.749546804544856</v>
      </c>
      <c r="AA1135" s="2">
        <f t="shared" si="388"/>
        <v>45.91027118207402</v>
      </c>
      <c r="AB1135" s="2">
        <f t="shared" si="388"/>
        <v>36.399517373939482</v>
      </c>
      <c r="AC1135" s="2">
        <f t="shared" si="388"/>
        <v>26.050427872883265</v>
      </c>
      <c r="AD1135" s="2">
        <f t="shared" si="388"/>
        <v>15.364310918089604</v>
      </c>
      <c r="AE1135" s="2">
        <f t="shared" si="388"/>
        <v>4.5092683260264277</v>
      </c>
      <c r="AF1135" s="28"/>
      <c r="AG1135" s="11"/>
    </row>
    <row r="1136" spans="1:33">
      <c r="A1136" s="3"/>
      <c r="B1136" s="5" t="s">
        <v>234</v>
      </c>
      <c r="C1136" s="11"/>
      <c r="D1136" t="s">
        <v>215</v>
      </c>
      <c r="F1136" s="27"/>
      <c r="G1136" s="2"/>
      <c r="H1136" s="2" t="s">
        <v>1019</v>
      </c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8"/>
      <c r="AG1136" s="11"/>
    </row>
    <row r="1137" spans="1:33">
      <c r="A1137" s="20" t="s">
        <v>936</v>
      </c>
      <c r="B1137" s="11"/>
      <c r="C1137" s="11"/>
      <c r="D1137" s="24" t="s">
        <v>1013</v>
      </c>
      <c r="E1137" s="27"/>
      <c r="F1137" s="6" t="s">
        <v>1049</v>
      </c>
      <c r="G1137" s="19">
        <f>SUM(H1137:AE1137)/24</f>
        <v>294.0451576320001</v>
      </c>
      <c r="H1137" s="2">
        <f t="shared" ref="H1137:AE1137" si="389">$M$9*($F$7+273)^4</f>
        <v>294.04515763199998</v>
      </c>
      <c r="I1137" s="2">
        <f t="shared" si="389"/>
        <v>294.04515763199998</v>
      </c>
      <c r="J1137" s="2">
        <f t="shared" si="389"/>
        <v>294.04515763199998</v>
      </c>
      <c r="K1137" s="2">
        <f t="shared" si="389"/>
        <v>294.04515763199998</v>
      </c>
      <c r="L1137" s="2">
        <f t="shared" si="389"/>
        <v>294.04515763199998</v>
      </c>
      <c r="M1137" s="2">
        <f t="shared" si="389"/>
        <v>294.04515763199998</v>
      </c>
      <c r="N1137" s="2">
        <f t="shared" si="389"/>
        <v>294.04515763199998</v>
      </c>
      <c r="O1137" s="2">
        <f t="shared" si="389"/>
        <v>294.04515763199998</v>
      </c>
      <c r="P1137" s="2">
        <f t="shared" si="389"/>
        <v>294.04515763199998</v>
      </c>
      <c r="Q1137" s="2">
        <f t="shared" si="389"/>
        <v>294.04515763199998</v>
      </c>
      <c r="R1137" s="2">
        <f t="shared" si="389"/>
        <v>294.04515763199998</v>
      </c>
      <c r="S1137" s="2">
        <f t="shared" si="389"/>
        <v>294.04515763199998</v>
      </c>
      <c r="T1137" s="2">
        <f t="shared" si="389"/>
        <v>294.04515763199998</v>
      </c>
      <c r="U1137" s="2">
        <f t="shared" si="389"/>
        <v>294.04515763199998</v>
      </c>
      <c r="V1137" s="2">
        <f t="shared" si="389"/>
        <v>294.04515763199998</v>
      </c>
      <c r="W1137" s="2">
        <f t="shared" si="389"/>
        <v>294.04515763199998</v>
      </c>
      <c r="X1137" s="2">
        <f t="shared" si="389"/>
        <v>294.04515763199998</v>
      </c>
      <c r="Y1137" s="2">
        <f t="shared" si="389"/>
        <v>294.04515763199998</v>
      </c>
      <c r="Z1137" s="2">
        <f t="shared" si="389"/>
        <v>294.04515763199998</v>
      </c>
      <c r="AA1137" s="2">
        <f t="shared" si="389"/>
        <v>294.04515763199998</v>
      </c>
      <c r="AB1137" s="2">
        <f t="shared" si="389"/>
        <v>294.04515763199998</v>
      </c>
      <c r="AC1137" s="2">
        <f t="shared" si="389"/>
        <v>294.04515763199998</v>
      </c>
      <c r="AD1137" s="2">
        <f t="shared" si="389"/>
        <v>294.04515763199998</v>
      </c>
      <c r="AE1137" s="2">
        <f t="shared" si="389"/>
        <v>294.04515763199998</v>
      </c>
      <c r="AF1137" s="28"/>
      <c r="AG1137" s="11"/>
    </row>
    <row r="1138" spans="1:33">
      <c r="A1138" s="20"/>
      <c r="B1138" s="16" t="s">
        <v>729</v>
      </c>
      <c r="C1138" s="11"/>
      <c r="D1138" s="11"/>
      <c r="E1138" s="21"/>
      <c r="F1138" s="21"/>
      <c r="G1138" s="82">
        <f>G1135+G1137</f>
        <v>320.47991144156867</v>
      </c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  <c r="AA1138" s="24"/>
      <c r="AB1138" s="24"/>
      <c r="AC1138" s="24"/>
      <c r="AD1138" s="24"/>
      <c r="AE1138" s="24"/>
      <c r="AF1138" s="28"/>
      <c r="AG1138" s="11"/>
    </row>
    <row r="1139" spans="1:33">
      <c r="A1139" s="39" t="s">
        <v>514</v>
      </c>
      <c r="B1139" s="16"/>
      <c r="C1139" s="11"/>
      <c r="D1139" s="11"/>
      <c r="E1139" s="21"/>
      <c r="F1139" s="21"/>
      <c r="G1139" s="82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  <c r="AE1139" s="24"/>
      <c r="AF1139" s="28"/>
      <c r="AG1139" s="11"/>
    </row>
    <row r="1140" spans="1:33">
      <c r="A1140" s="3" t="s">
        <v>728</v>
      </c>
      <c r="B1140" s="16"/>
      <c r="C1140" s="11"/>
      <c r="D1140" s="11"/>
      <c r="E1140" s="21"/>
      <c r="F1140" s="21"/>
      <c r="G1140" s="82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4"/>
      <c r="AE1140" s="24"/>
      <c r="AF1140" s="28"/>
      <c r="AG1140" s="11"/>
    </row>
    <row r="1141" spans="1:33">
      <c r="A1141" s="3" t="s">
        <v>877</v>
      </c>
      <c r="G1141" s="19">
        <f>SUM(H1141:AE1141)/48</f>
        <v>2.9948961982648918</v>
      </c>
      <c r="H1141" s="24">
        <f>H$71*H$1060*$F$16</f>
        <v>2.7377700550874744</v>
      </c>
      <c r="I1141" s="24">
        <f t="shared" ref="I1141:AE1141" si="390">I$71*I$1060*$F$16</f>
        <v>5.1452238294864516</v>
      </c>
      <c r="J1141" s="24">
        <f t="shared" si="390"/>
        <v>6.0708283953464095</v>
      </c>
      <c r="K1141" s="24">
        <f t="shared" si="390"/>
        <v>6.1393280818032725</v>
      </c>
      <c r="L1141" s="24">
        <f t="shared" si="390"/>
        <v>6.2364530368168385</v>
      </c>
      <c r="M1141" s="24">
        <f t="shared" si="390"/>
        <v>6.4098850525033324</v>
      </c>
      <c r="N1141" s="24">
        <f t="shared" si="390"/>
        <v>6.4385825374582746</v>
      </c>
      <c r="O1141" s="24">
        <f t="shared" si="390"/>
        <v>6.566256199283969</v>
      </c>
      <c r="P1141" s="24">
        <f t="shared" si="390"/>
        <v>6.5901050500980451</v>
      </c>
      <c r="Q1141" s="24">
        <f t="shared" si="390"/>
        <v>6.5580217798789224</v>
      </c>
      <c r="R1141" s="24">
        <f t="shared" si="390"/>
        <v>6.5088939765834697</v>
      </c>
      <c r="S1141" s="24">
        <f t="shared" si="390"/>
        <v>6.4761607640109373</v>
      </c>
      <c r="T1141" s="24">
        <f t="shared" si="390"/>
        <v>6.4761607640109373</v>
      </c>
      <c r="U1141" s="24">
        <f t="shared" si="390"/>
        <v>6.5088939765834697</v>
      </c>
      <c r="V1141" s="24">
        <f t="shared" si="390"/>
        <v>6.5580217798789224</v>
      </c>
      <c r="W1141" s="24">
        <f t="shared" si="390"/>
        <v>6.5901050500980451</v>
      </c>
      <c r="X1141" s="24">
        <f t="shared" si="390"/>
        <v>6.566256199283969</v>
      </c>
      <c r="Y1141" s="24">
        <f t="shared" si="390"/>
        <v>6.4385825374582746</v>
      </c>
      <c r="Z1141" s="24">
        <f t="shared" si="390"/>
        <v>6.4098850525033324</v>
      </c>
      <c r="AA1141" s="24">
        <f t="shared" si="390"/>
        <v>6.2364530368168385</v>
      </c>
      <c r="AB1141" s="24">
        <f t="shared" si="390"/>
        <v>6.1393280818032725</v>
      </c>
      <c r="AC1141" s="24">
        <f t="shared" si="390"/>
        <v>6.0708283953464095</v>
      </c>
      <c r="AD1141" s="24">
        <f t="shared" si="390"/>
        <v>5.1452238294864516</v>
      </c>
      <c r="AE1141" s="24">
        <f t="shared" si="390"/>
        <v>2.7377700550874744</v>
      </c>
      <c r="AF1141" s="28"/>
      <c r="AG1141" s="11"/>
    </row>
    <row r="1142" spans="1:33">
      <c r="B1142" s="5" t="s">
        <v>197</v>
      </c>
      <c r="D1142" t="s">
        <v>221</v>
      </c>
      <c r="G1142" t="s">
        <v>894</v>
      </c>
      <c r="J1142" s="2"/>
      <c r="K1142" s="2" t="s">
        <v>235</v>
      </c>
      <c r="L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</row>
    <row r="1143" spans="1:33">
      <c r="A1143" t="s">
        <v>879</v>
      </c>
      <c r="C1143" s="11"/>
      <c r="G1143" s="98">
        <f>SUM(H1143:AE1143)/48</f>
        <v>34.709139891439186</v>
      </c>
      <c r="H1143" s="97">
        <f>H$71*(1-($F$16+$F$13)*H$1060)</f>
        <v>3.6492864381342454</v>
      </c>
      <c r="I1143" s="97">
        <f t="shared" ref="I1143:AE1143" si="391">I$71*(1-($F$16+$F$13)*I$1060)</f>
        <v>16.700887291194686</v>
      </c>
      <c r="J1143" s="97">
        <f t="shared" si="391"/>
        <v>31.02265199800847</v>
      </c>
      <c r="K1143" s="97">
        <f t="shared" si="391"/>
        <v>45.737195890759928</v>
      </c>
      <c r="L1143" s="97">
        <f t="shared" si="391"/>
        <v>59.224919591123999</v>
      </c>
      <c r="M1143" s="97">
        <f t="shared" si="391"/>
        <v>71.675555538653541</v>
      </c>
      <c r="N1143" s="97">
        <f t="shared" si="391"/>
        <v>82.838723469398118</v>
      </c>
      <c r="O1143" s="97">
        <f t="shared" si="391"/>
        <v>92.229267283406756</v>
      </c>
      <c r="P1143" s="97">
        <f t="shared" si="391"/>
        <v>100.29382405034073</v>
      </c>
      <c r="Q1143" s="97">
        <f t="shared" si="391"/>
        <v>106.27186864681808</v>
      </c>
      <c r="R1143" s="97">
        <f t="shared" si="391"/>
        <v>110.60128404073537</v>
      </c>
      <c r="S1143" s="97">
        <f t="shared" si="391"/>
        <v>112.77389315596658</v>
      </c>
      <c r="T1143" s="97">
        <f t="shared" si="391"/>
        <v>112.77389315596658</v>
      </c>
      <c r="U1143" s="97">
        <f t="shared" si="391"/>
        <v>110.60128404073537</v>
      </c>
      <c r="V1143" s="97">
        <f t="shared" si="391"/>
        <v>106.27186864681808</v>
      </c>
      <c r="W1143" s="97">
        <f t="shared" si="391"/>
        <v>100.29382405034073</v>
      </c>
      <c r="X1143" s="97">
        <f t="shared" si="391"/>
        <v>92.229267283406756</v>
      </c>
      <c r="Y1143" s="97">
        <f t="shared" si="391"/>
        <v>82.838723469398118</v>
      </c>
      <c r="Z1143" s="97">
        <f t="shared" si="391"/>
        <v>71.675555538653541</v>
      </c>
      <c r="AA1143" s="97">
        <f t="shared" si="391"/>
        <v>59.224919591123999</v>
      </c>
      <c r="AB1143" s="97">
        <f t="shared" si="391"/>
        <v>45.737195890759928</v>
      </c>
      <c r="AC1143" s="97">
        <f t="shared" si="391"/>
        <v>31.02265199800847</v>
      </c>
      <c r="AD1143" s="97">
        <f t="shared" si="391"/>
        <v>16.700887291194686</v>
      </c>
      <c r="AE1143" s="97">
        <f t="shared" si="391"/>
        <v>3.6492864381342454</v>
      </c>
      <c r="AF1143" s="28"/>
      <c r="AG1143" s="11"/>
    </row>
    <row r="1144" spans="1:33">
      <c r="B1144" s="24" t="s">
        <v>200</v>
      </c>
      <c r="D1144" s="2" t="s">
        <v>201</v>
      </c>
      <c r="E1144" s="106" t="s">
        <v>970</v>
      </c>
      <c r="G1144" t="s">
        <v>853</v>
      </c>
      <c r="I1144" t="s">
        <v>219</v>
      </c>
      <c r="AF1144" s="28"/>
      <c r="AG1144" s="11"/>
    </row>
    <row r="1145" spans="1:33">
      <c r="A1145" t="s">
        <v>895</v>
      </c>
      <c r="C1145" s="11"/>
      <c r="D1145" s="24"/>
      <c r="G1145" s="97">
        <f>SUM(H1145:AE1145)/48</f>
        <v>24.296397924007426</v>
      </c>
      <c r="H1145" s="97">
        <f>H1143*$F$15</f>
        <v>2.5545005066939717</v>
      </c>
      <c r="I1145" s="97">
        <f t="shared" ref="I1145:AE1145" si="392">I1143*$F$15</f>
        <v>11.69062110383628</v>
      </c>
      <c r="J1145" s="97">
        <f t="shared" si="392"/>
        <v>21.715856398605929</v>
      </c>
      <c r="K1145" s="97">
        <f t="shared" si="392"/>
        <v>32.016037123531945</v>
      </c>
      <c r="L1145" s="97">
        <f t="shared" si="392"/>
        <v>41.457443713786795</v>
      </c>
      <c r="M1145" s="97">
        <f t="shared" si="392"/>
        <v>50.172888877057474</v>
      </c>
      <c r="N1145" s="97">
        <f t="shared" si="392"/>
        <v>57.987106428578677</v>
      </c>
      <c r="O1145" s="97">
        <f t="shared" si="392"/>
        <v>64.560487098384726</v>
      </c>
      <c r="P1145" s="97">
        <f t="shared" si="392"/>
        <v>70.205676835238506</v>
      </c>
      <c r="Q1145" s="97">
        <f t="shared" si="392"/>
        <v>74.390308052772653</v>
      </c>
      <c r="R1145" s="97">
        <f t="shared" si="392"/>
        <v>77.420898828514751</v>
      </c>
      <c r="S1145" s="97">
        <f t="shared" si="392"/>
        <v>78.941725209176596</v>
      </c>
      <c r="T1145" s="97">
        <f t="shared" si="392"/>
        <v>78.941725209176596</v>
      </c>
      <c r="U1145" s="97">
        <f t="shared" si="392"/>
        <v>77.420898828514751</v>
      </c>
      <c r="V1145" s="97">
        <f t="shared" si="392"/>
        <v>74.390308052772653</v>
      </c>
      <c r="W1145" s="97">
        <f t="shared" si="392"/>
        <v>70.205676835238506</v>
      </c>
      <c r="X1145" s="97">
        <f t="shared" si="392"/>
        <v>64.560487098384726</v>
      </c>
      <c r="Y1145" s="97">
        <f t="shared" si="392"/>
        <v>57.987106428578677</v>
      </c>
      <c r="Z1145" s="97">
        <f t="shared" si="392"/>
        <v>50.172888877057474</v>
      </c>
      <c r="AA1145" s="97">
        <f t="shared" si="392"/>
        <v>41.457443713786795</v>
      </c>
      <c r="AB1145" s="97">
        <f t="shared" si="392"/>
        <v>32.016037123531945</v>
      </c>
      <c r="AC1145" s="97">
        <f t="shared" si="392"/>
        <v>21.715856398605929</v>
      </c>
      <c r="AD1145" s="97">
        <f t="shared" si="392"/>
        <v>11.69062110383628</v>
      </c>
      <c r="AE1145" s="97">
        <f t="shared" si="392"/>
        <v>2.5545005066939717</v>
      </c>
      <c r="AF1145" s="28"/>
      <c r="AG1145" s="11"/>
    </row>
    <row r="1146" spans="1:33">
      <c r="B1146" s="24" t="s">
        <v>938</v>
      </c>
      <c r="C1146" s="14" t="s">
        <v>897</v>
      </c>
      <c r="D1146" s="24" t="s">
        <v>236</v>
      </c>
      <c r="I1146" s="24"/>
      <c r="AF1146" s="28"/>
      <c r="AG1146" s="11"/>
    </row>
    <row r="1147" spans="1:33">
      <c r="A1147" s="20" t="s">
        <v>896</v>
      </c>
      <c r="B1147" s="11"/>
      <c r="C1147" s="11"/>
      <c r="E1147" s="14" t="s">
        <v>563</v>
      </c>
      <c r="F1147" s="31">
        <f>$F$15</f>
        <v>0.7</v>
      </c>
      <c r="G1147" s="19">
        <f>SUM(H1147:AE1147)/48</f>
        <v>24.032956757787247</v>
      </c>
      <c r="H1147" s="2">
        <f>H1145*(1-($F$16+$F$13)*$H$1061)</f>
        <v>2.5268025493795436</v>
      </c>
      <c r="I1147" s="2">
        <f t="shared" ref="I1147:AE1147" si="393">I1145*(1-($F$16+$F$13)*$H$1061)</f>
        <v>11.563861949369612</v>
      </c>
      <c r="J1147" s="2">
        <f t="shared" si="393"/>
        <v>21.480395547453753</v>
      </c>
      <c r="K1147" s="2">
        <f t="shared" si="393"/>
        <v>31.668893395315429</v>
      </c>
      <c r="L1147" s="2">
        <f t="shared" si="393"/>
        <v>41.007928631154897</v>
      </c>
      <c r="M1147" s="2">
        <f t="shared" si="393"/>
        <v>49.628873900032943</v>
      </c>
      <c r="N1147" s="2">
        <f t="shared" si="393"/>
        <v>57.358363394691168</v>
      </c>
      <c r="O1147" s="2">
        <f t="shared" si="393"/>
        <v>63.860470163111536</v>
      </c>
      <c r="P1147" s="2">
        <f t="shared" si="393"/>
        <v>69.444450194211299</v>
      </c>
      <c r="Q1147" s="2">
        <f t="shared" si="393"/>
        <v>73.58370826089417</v>
      </c>
      <c r="R1147" s="2">
        <f t="shared" si="393"/>
        <v>76.581438924170428</v>
      </c>
      <c r="S1147" s="2">
        <f t="shared" si="393"/>
        <v>78.085775277109107</v>
      </c>
      <c r="T1147" s="2">
        <f t="shared" si="393"/>
        <v>78.085775277109107</v>
      </c>
      <c r="U1147" s="2">
        <f t="shared" si="393"/>
        <v>76.581438924170428</v>
      </c>
      <c r="V1147" s="2">
        <f t="shared" si="393"/>
        <v>73.58370826089417</v>
      </c>
      <c r="W1147" s="2">
        <f t="shared" si="393"/>
        <v>69.444450194211299</v>
      </c>
      <c r="X1147" s="2">
        <f t="shared" si="393"/>
        <v>63.860470163111536</v>
      </c>
      <c r="Y1147" s="2">
        <f t="shared" si="393"/>
        <v>57.358363394691168</v>
      </c>
      <c r="Z1147" s="2">
        <f t="shared" si="393"/>
        <v>49.628873900032943</v>
      </c>
      <c r="AA1147" s="2">
        <f t="shared" si="393"/>
        <v>41.007928631154897</v>
      </c>
      <c r="AB1147" s="2">
        <f t="shared" si="393"/>
        <v>31.668893395315429</v>
      </c>
      <c r="AC1147" s="2">
        <f t="shared" si="393"/>
        <v>21.480395547453753</v>
      </c>
      <c r="AD1147" s="2">
        <f t="shared" si="393"/>
        <v>11.563861949369612</v>
      </c>
      <c r="AE1147" s="2">
        <f t="shared" si="393"/>
        <v>2.5268025493795436</v>
      </c>
      <c r="AF1147" s="28"/>
      <c r="AG1147" s="11"/>
    </row>
    <row r="1148" spans="1:33">
      <c r="A1148" s="3"/>
      <c r="B1148" s="5" t="s">
        <v>237</v>
      </c>
      <c r="C1148" s="11"/>
      <c r="D1148" t="s">
        <v>205</v>
      </c>
      <c r="F1148" s="27"/>
      <c r="G1148" s="2"/>
      <c r="H1148" s="2" t="s">
        <v>898</v>
      </c>
      <c r="I1148" s="2"/>
      <c r="J1148" s="2" t="s">
        <v>899</v>
      </c>
      <c r="K1148" s="2"/>
      <c r="L1148" t="s">
        <v>243</v>
      </c>
      <c r="M1148" s="2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  <c r="AE1148" s="28"/>
      <c r="AF1148" s="28"/>
      <c r="AG1148" s="11"/>
    </row>
    <row r="1149" spans="1:33">
      <c r="A1149" t="s">
        <v>834</v>
      </c>
      <c r="B1149" s="5"/>
      <c r="C1149" s="11"/>
      <c r="D1149" s="5" t="s">
        <v>206</v>
      </c>
      <c r="F1149" t="s">
        <v>244</v>
      </c>
      <c r="G1149" s="97">
        <f>SUM(H1149:AE1149)/48</f>
        <v>0.25827565315704387</v>
      </c>
      <c r="H1149" s="97">
        <f>H1145*$H$1061*$F$16</f>
        <v>2.715486011218423E-2</v>
      </c>
      <c r="I1149" s="97">
        <f t="shared" ref="I1149:AE1149" si="394">I1145*$H$1061*$F$16</f>
        <v>0.12427368084967627</v>
      </c>
      <c r="J1149" s="97">
        <f t="shared" si="394"/>
        <v>0.23084397171782187</v>
      </c>
      <c r="K1149" s="97">
        <f t="shared" si="394"/>
        <v>0.34033698844756577</v>
      </c>
      <c r="L1149" s="97">
        <f t="shared" si="394"/>
        <v>0.44070106140382098</v>
      </c>
      <c r="M1149" s="97">
        <f t="shared" si="394"/>
        <v>0.5333480166907163</v>
      </c>
      <c r="N1149" s="97">
        <f t="shared" si="394"/>
        <v>0.61641473910540634</v>
      </c>
      <c r="O1149" s="97">
        <f t="shared" si="394"/>
        <v>0.68629111301293488</v>
      </c>
      <c r="P1149" s="97">
        <f t="shared" si="394"/>
        <v>0.74630062845804856</v>
      </c>
      <c r="Q1149" s="97">
        <f t="shared" si="394"/>
        <v>0.79078410968478841</v>
      </c>
      <c r="R1149" s="97">
        <f t="shared" si="394"/>
        <v>0.82299990621992358</v>
      </c>
      <c r="S1149" s="97">
        <f t="shared" si="394"/>
        <v>0.83916660006616572</v>
      </c>
      <c r="T1149" s="97">
        <f t="shared" si="394"/>
        <v>0.83916660006616572</v>
      </c>
      <c r="U1149" s="97">
        <f t="shared" si="394"/>
        <v>0.82299990621992358</v>
      </c>
      <c r="V1149" s="97">
        <f t="shared" si="394"/>
        <v>0.79078410968478841</v>
      </c>
      <c r="W1149" s="97">
        <f t="shared" si="394"/>
        <v>0.74630062845804856</v>
      </c>
      <c r="X1149" s="97">
        <f t="shared" si="394"/>
        <v>0.68629111301293488</v>
      </c>
      <c r="Y1149" s="97">
        <f t="shared" si="394"/>
        <v>0.61641473910540634</v>
      </c>
      <c r="Z1149" s="97">
        <f t="shared" si="394"/>
        <v>0.5333480166907163</v>
      </c>
      <c r="AA1149" s="97">
        <f t="shared" si="394"/>
        <v>0.44070106140382098</v>
      </c>
      <c r="AB1149" s="97">
        <f t="shared" si="394"/>
        <v>0.34033698844756577</v>
      </c>
      <c r="AC1149" s="97">
        <f t="shared" si="394"/>
        <v>0.23084397171782187</v>
      </c>
      <c r="AD1149" s="97">
        <f t="shared" si="394"/>
        <v>0.12427368084967627</v>
      </c>
      <c r="AE1149" s="97">
        <f t="shared" si="394"/>
        <v>2.715486011218423E-2</v>
      </c>
      <c r="AF1149" s="28"/>
      <c r="AG1149" s="11"/>
    </row>
    <row r="1150" spans="1:33">
      <c r="A1150" t="s">
        <v>930</v>
      </c>
      <c r="B1150" s="5"/>
      <c r="C1150" s="11"/>
      <c r="D1150" s="5" t="s">
        <v>238</v>
      </c>
      <c r="G1150" s="97">
        <f>SUM(H1150:AE1150)/48</f>
        <v>0.18079295720993069</v>
      </c>
      <c r="H1150" s="97">
        <f>H1149*$F$15</f>
        <v>1.9008402078528958E-2</v>
      </c>
      <c r="I1150" s="97">
        <f t="shared" ref="I1150:AE1150" si="395">I1149*$F$15</f>
        <v>8.6991576594773384E-2</v>
      </c>
      <c r="J1150" s="97">
        <f t="shared" si="395"/>
        <v>0.1615907802024753</v>
      </c>
      <c r="K1150" s="97">
        <f t="shared" si="395"/>
        <v>0.23823589191329603</v>
      </c>
      <c r="L1150" s="97">
        <f t="shared" si="395"/>
        <v>0.30849074298267465</v>
      </c>
      <c r="M1150" s="97">
        <f t="shared" si="395"/>
        <v>0.37334361168350139</v>
      </c>
      <c r="N1150" s="97">
        <f t="shared" si="395"/>
        <v>0.4314903173737844</v>
      </c>
      <c r="O1150" s="97">
        <f t="shared" si="395"/>
        <v>0.48040377910905441</v>
      </c>
      <c r="P1150" s="97">
        <f t="shared" si="395"/>
        <v>0.52241043992063396</v>
      </c>
      <c r="Q1150" s="97">
        <f t="shared" si="395"/>
        <v>0.55354887677935183</v>
      </c>
      <c r="R1150" s="97">
        <f t="shared" si="395"/>
        <v>0.57609993435394646</v>
      </c>
      <c r="S1150" s="97">
        <f t="shared" si="395"/>
        <v>0.58741662004631601</v>
      </c>
      <c r="T1150" s="97">
        <f t="shared" si="395"/>
        <v>0.58741662004631601</v>
      </c>
      <c r="U1150" s="97">
        <f t="shared" si="395"/>
        <v>0.57609993435394646</v>
      </c>
      <c r="V1150" s="97">
        <f t="shared" si="395"/>
        <v>0.55354887677935183</v>
      </c>
      <c r="W1150" s="97">
        <f t="shared" si="395"/>
        <v>0.52241043992063396</v>
      </c>
      <c r="X1150" s="97">
        <f t="shared" si="395"/>
        <v>0.48040377910905441</v>
      </c>
      <c r="Y1150" s="97">
        <f t="shared" si="395"/>
        <v>0.4314903173737844</v>
      </c>
      <c r="Z1150" s="97">
        <f t="shared" si="395"/>
        <v>0.37334361168350139</v>
      </c>
      <c r="AA1150" s="97">
        <f t="shared" si="395"/>
        <v>0.30849074298267465</v>
      </c>
      <c r="AB1150" s="97">
        <f t="shared" si="395"/>
        <v>0.23823589191329603</v>
      </c>
      <c r="AC1150" s="97">
        <f t="shared" si="395"/>
        <v>0.1615907802024753</v>
      </c>
      <c r="AD1150" s="97">
        <f t="shared" si="395"/>
        <v>8.6991576594773384E-2</v>
      </c>
      <c r="AE1150" s="97">
        <f t="shared" si="395"/>
        <v>1.9008402078528958E-2</v>
      </c>
      <c r="AF1150" s="28"/>
      <c r="AG1150" s="11"/>
    </row>
    <row r="1151" spans="1:33">
      <c r="A1151" s="20" t="s">
        <v>835</v>
      </c>
      <c r="B1151" s="5"/>
      <c r="C1151" s="11"/>
      <c r="G1151" s="19">
        <f>SUM(H1151:AE1151)/48</f>
        <v>0.1788326539731814</v>
      </c>
      <c r="H1151" s="24">
        <f>H1150*(1-($F$16+$F$13)*$H$1061)</f>
        <v>1.8802297633449806E-2</v>
      </c>
      <c r="I1151" s="24">
        <f t="shared" ref="I1151:AE1151" si="396">I1150*(1-($F$16+$F$13)*$H$1061)</f>
        <v>8.6048343673533853E-2</v>
      </c>
      <c r="J1151" s="24">
        <f t="shared" si="396"/>
        <v>0.15983868247506255</v>
      </c>
      <c r="K1151" s="24">
        <f t="shared" si="396"/>
        <v>0.23565274599193581</v>
      </c>
      <c r="L1151" s="24">
        <f t="shared" si="396"/>
        <v>0.30514583723353128</v>
      </c>
      <c r="M1151" s="24">
        <f t="shared" si="396"/>
        <v>0.36929551876164596</v>
      </c>
      <c r="N1151" s="24">
        <f t="shared" si="396"/>
        <v>0.42681175091396584</v>
      </c>
      <c r="O1151" s="24">
        <f t="shared" si="396"/>
        <v>0.47519485339830037</v>
      </c>
      <c r="P1151" s="24">
        <f t="shared" si="396"/>
        <v>0.51674604407196767</v>
      </c>
      <c r="Q1151" s="24">
        <f t="shared" si="396"/>
        <v>0.54754685285322358</v>
      </c>
      <c r="R1151" s="24">
        <f t="shared" si="396"/>
        <v>0.56985339365107079</v>
      </c>
      <c r="S1151" s="24">
        <f t="shared" si="396"/>
        <v>0.58104737469866674</v>
      </c>
      <c r="T1151" s="24">
        <f t="shared" si="396"/>
        <v>0.58104737469866674</v>
      </c>
      <c r="U1151" s="24">
        <f t="shared" si="396"/>
        <v>0.56985339365107079</v>
      </c>
      <c r="V1151" s="24">
        <f t="shared" si="396"/>
        <v>0.54754685285322358</v>
      </c>
      <c r="W1151" s="24">
        <f t="shared" si="396"/>
        <v>0.51674604407196767</v>
      </c>
      <c r="X1151" s="24">
        <f t="shared" si="396"/>
        <v>0.47519485339830037</v>
      </c>
      <c r="Y1151" s="24">
        <f t="shared" si="396"/>
        <v>0.42681175091396584</v>
      </c>
      <c r="Z1151" s="24">
        <f t="shared" si="396"/>
        <v>0.36929551876164596</v>
      </c>
      <c r="AA1151" s="24">
        <f t="shared" si="396"/>
        <v>0.30514583723353128</v>
      </c>
      <c r="AB1151" s="24">
        <f t="shared" si="396"/>
        <v>0.23565274599193581</v>
      </c>
      <c r="AC1151" s="24">
        <f t="shared" si="396"/>
        <v>0.15983868247506255</v>
      </c>
      <c r="AD1151" s="24">
        <f t="shared" si="396"/>
        <v>8.6048343673533853E-2</v>
      </c>
      <c r="AE1151" s="24">
        <f t="shared" si="396"/>
        <v>1.8802297633449806E-2</v>
      </c>
      <c r="AF1151" s="28"/>
      <c r="AG1151" s="11"/>
    </row>
    <row r="1152" spans="1:33">
      <c r="A1152" s="20"/>
      <c r="B1152" s="24" t="s">
        <v>239</v>
      </c>
      <c r="C1152" s="11"/>
      <c r="D1152" t="s">
        <v>205</v>
      </c>
      <c r="G1152" s="27"/>
      <c r="H1152" s="24" t="s">
        <v>900</v>
      </c>
      <c r="K1152" t="s">
        <v>853</v>
      </c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  <c r="AE1152" s="24"/>
      <c r="AF1152" s="28"/>
      <c r="AG1152" s="11"/>
    </row>
    <row r="1153" spans="1:33">
      <c r="A1153" s="100" t="s">
        <v>836</v>
      </c>
      <c r="B1153" s="5"/>
      <c r="C1153" s="11"/>
      <c r="G1153" s="19">
        <f>SUM(H1153:AE1153)/48</f>
        <v>1.3307192472989827E-3</v>
      </c>
      <c r="H1153" s="2">
        <f>H1151^2/H1147</f>
        <v>1.3991057448617842E-4</v>
      </c>
      <c r="I1153" s="2">
        <f t="shared" ref="I1153:AE1153" si="397">I1151^2/I1147</f>
        <v>6.4029798015378676E-4</v>
      </c>
      <c r="J1153" s="2">
        <f t="shared" si="397"/>
        <v>1.1893824002878908E-3</v>
      </c>
      <c r="K1153" s="2">
        <f t="shared" si="397"/>
        <v>1.7535256442447822E-3</v>
      </c>
      <c r="L1153" s="2">
        <f t="shared" si="397"/>
        <v>2.2706336332777221E-3</v>
      </c>
      <c r="M1153" s="2">
        <f t="shared" si="397"/>
        <v>2.7479805496320696E-3</v>
      </c>
      <c r="N1153" s="2">
        <f t="shared" si="397"/>
        <v>3.175967024454988E-3</v>
      </c>
      <c r="O1153" s="2">
        <f t="shared" si="397"/>
        <v>3.5359925806914823E-3</v>
      </c>
      <c r="P1153" s="2">
        <f t="shared" si="397"/>
        <v>3.8451809081539328E-3</v>
      </c>
      <c r="Q1153" s="2">
        <f t="shared" si="397"/>
        <v>4.0743741129013128E-3</v>
      </c>
      <c r="R1153" s="2">
        <f t="shared" si="397"/>
        <v>4.2403602598429487E-3</v>
      </c>
      <c r="S1153" s="2">
        <f t="shared" si="397"/>
        <v>4.3236562670484896E-3</v>
      </c>
      <c r="T1153" s="2">
        <f t="shared" si="397"/>
        <v>4.3236562670484896E-3</v>
      </c>
      <c r="U1153" s="2">
        <f t="shared" si="397"/>
        <v>4.2403602598429487E-3</v>
      </c>
      <c r="V1153" s="2">
        <f t="shared" si="397"/>
        <v>4.0743741129013128E-3</v>
      </c>
      <c r="W1153" s="2">
        <f t="shared" si="397"/>
        <v>3.8451809081539328E-3</v>
      </c>
      <c r="X1153" s="2">
        <f t="shared" si="397"/>
        <v>3.5359925806914823E-3</v>
      </c>
      <c r="Y1153" s="2">
        <f t="shared" si="397"/>
        <v>3.175967024454988E-3</v>
      </c>
      <c r="Z1153" s="2">
        <f t="shared" si="397"/>
        <v>2.7479805496320696E-3</v>
      </c>
      <c r="AA1153" s="2">
        <f t="shared" si="397"/>
        <v>2.2706336332777221E-3</v>
      </c>
      <c r="AB1153" s="2">
        <f t="shared" si="397"/>
        <v>1.7535256442447822E-3</v>
      </c>
      <c r="AC1153" s="2">
        <f t="shared" si="397"/>
        <v>1.1893824002878908E-3</v>
      </c>
      <c r="AD1153" s="2">
        <f t="shared" si="397"/>
        <v>6.4029798015378676E-4</v>
      </c>
      <c r="AE1153" s="2">
        <f t="shared" si="397"/>
        <v>1.3991057448617842E-4</v>
      </c>
      <c r="AF1153" s="28"/>
      <c r="AG1153" s="11"/>
    </row>
    <row r="1154" spans="1:33">
      <c r="A1154" s="100"/>
      <c r="B1154" s="24" t="s">
        <v>240</v>
      </c>
      <c r="C1154" s="11"/>
      <c r="G1154" s="19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8"/>
      <c r="AG1154" s="11"/>
    </row>
    <row r="1155" spans="1:33">
      <c r="A1155" s="20" t="s">
        <v>901</v>
      </c>
      <c r="B1155" s="11"/>
      <c r="C1155" s="11"/>
      <c r="D1155" s="24"/>
      <c r="E1155" s="27"/>
      <c r="F1155" s="6"/>
      <c r="G1155" s="19">
        <f>SUM(H1155:AE1155)/24</f>
        <v>287.79363793079938</v>
      </c>
      <c r="H1155" s="2">
        <f t="shared" ref="H1155:AE1155" si="398">$M$9*($F$7+273)^4*(1-$H$1061)</f>
        <v>287.79363793079938</v>
      </c>
      <c r="I1155" s="2">
        <f t="shared" si="398"/>
        <v>287.79363793079938</v>
      </c>
      <c r="J1155" s="2">
        <f t="shared" si="398"/>
        <v>287.79363793079938</v>
      </c>
      <c r="K1155" s="2">
        <f t="shared" si="398"/>
        <v>287.79363793079938</v>
      </c>
      <c r="L1155" s="2">
        <f t="shared" si="398"/>
        <v>287.79363793079938</v>
      </c>
      <c r="M1155" s="2">
        <f t="shared" si="398"/>
        <v>287.79363793079938</v>
      </c>
      <c r="N1155" s="2">
        <f t="shared" si="398"/>
        <v>287.79363793079938</v>
      </c>
      <c r="O1155" s="2">
        <f t="shared" si="398"/>
        <v>287.79363793079938</v>
      </c>
      <c r="P1155" s="2">
        <f t="shared" si="398"/>
        <v>287.79363793079938</v>
      </c>
      <c r="Q1155" s="2">
        <f t="shared" si="398"/>
        <v>287.79363793079938</v>
      </c>
      <c r="R1155" s="2">
        <f t="shared" si="398"/>
        <v>287.79363793079938</v>
      </c>
      <c r="S1155" s="2">
        <f t="shared" si="398"/>
        <v>287.79363793079938</v>
      </c>
      <c r="T1155" s="2">
        <f t="shared" si="398"/>
        <v>287.79363793079938</v>
      </c>
      <c r="U1155" s="2">
        <f t="shared" si="398"/>
        <v>287.79363793079938</v>
      </c>
      <c r="V1155" s="2">
        <f t="shared" si="398"/>
        <v>287.79363793079938</v>
      </c>
      <c r="W1155" s="2">
        <f t="shared" si="398"/>
        <v>287.79363793079938</v>
      </c>
      <c r="X1155" s="2">
        <f t="shared" si="398"/>
        <v>287.79363793079938</v>
      </c>
      <c r="Y1155" s="2">
        <f t="shared" si="398"/>
        <v>287.79363793079938</v>
      </c>
      <c r="Z1155" s="2">
        <f t="shared" si="398"/>
        <v>287.79363793079938</v>
      </c>
      <c r="AA1155" s="2">
        <f t="shared" si="398"/>
        <v>287.79363793079938</v>
      </c>
      <c r="AB1155" s="2">
        <f t="shared" si="398"/>
        <v>287.79363793079938</v>
      </c>
      <c r="AC1155" s="2">
        <f t="shared" si="398"/>
        <v>287.79363793079938</v>
      </c>
      <c r="AD1155" s="2">
        <f t="shared" si="398"/>
        <v>287.79363793079938</v>
      </c>
      <c r="AE1155" s="2">
        <f t="shared" si="398"/>
        <v>287.79363793079938</v>
      </c>
      <c r="AF1155" s="28"/>
      <c r="AG1155" s="11"/>
    </row>
    <row r="1156" spans="1:33">
      <c r="A1156" s="14"/>
      <c r="B1156" s="5" t="s">
        <v>241</v>
      </c>
      <c r="D1156" t="s">
        <v>1056</v>
      </c>
      <c r="E1156" s="12"/>
      <c r="F1156" s="6"/>
      <c r="G1156" s="2"/>
      <c r="H1156" s="2" t="s">
        <v>242</v>
      </c>
      <c r="J1156" s="10"/>
      <c r="K1156" s="9"/>
      <c r="AF1156" s="2"/>
    </row>
    <row r="1157" spans="1:33">
      <c r="A1157" s="20" t="s">
        <v>914</v>
      </c>
      <c r="B1157" s="11"/>
      <c r="C1157" s="11"/>
      <c r="D1157" s="11"/>
      <c r="E1157" s="27"/>
      <c r="F1157" s="6"/>
      <c r="G1157" s="19">
        <f>SUM(H1157:AE1157)/24</f>
        <v>2.5618512323568008</v>
      </c>
      <c r="H1157" s="24">
        <f t="shared" ref="H1157:AE1157" si="399">$M$9*($F$9+273)^4*$F$10*$F$18</f>
        <v>2.5618512323567995</v>
      </c>
      <c r="I1157" s="24">
        <f t="shared" si="399"/>
        <v>2.5618512323567995</v>
      </c>
      <c r="J1157" s="24">
        <f t="shared" si="399"/>
        <v>2.5618512323567995</v>
      </c>
      <c r="K1157" s="24">
        <f t="shared" si="399"/>
        <v>2.5618512323567995</v>
      </c>
      <c r="L1157" s="24">
        <f t="shared" si="399"/>
        <v>2.5618512323567995</v>
      </c>
      <c r="M1157" s="24">
        <f t="shared" si="399"/>
        <v>2.5618512323567995</v>
      </c>
      <c r="N1157" s="24">
        <f t="shared" si="399"/>
        <v>2.5618512323567995</v>
      </c>
      <c r="O1157" s="24">
        <f t="shared" si="399"/>
        <v>2.5618512323567995</v>
      </c>
      <c r="P1157" s="24">
        <f t="shared" si="399"/>
        <v>2.5618512323567995</v>
      </c>
      <c r="Q1157" s="24">
        <f t="shared" si="399"/>
        <v>2.5618512323567995</v>
      </c>
      <c r="R1157" s="24">
        <f t="shared" si="399"/>
        <v>2.5618512323567995</v>
      </c>
      <c r="S1157" s="24">
        <f t="shared" si="399"/>
        <v>2.5618512323567995</v>
      </c>
      <c r="T1157" s="24">
        <f t="shared" si="399"/>
        <v>2.5618512323567995</v>
      </c>
      <c r="U1157" s="24">
        <f t="shared" si="399"/>
        <v>2.5618512323567995</v>
      </c>
      <c r="V1157" s="24">
        <f t="shared" si="399"/>
        <v>2.5618512323567995</v>
      </c>
      <c r="W1157" s="24">
        <f t="shared" si="399"/>
        <v>2.5618512323567995</v>
      </c>
      <c r="X1157" s="24">
        <f t="shared" si="399"/>
        <v>2.5618512323567995</v>
      </c>
      <c r="Y1157" s="24">
        <f t="shared" si="399"/>
        <v>2.5618512323567995</v>
      </c>
      <c r="Z1157" s="24">
        <f t="shared" si="399"/>
        <v>2.5618512323567995</v>
      </c>
      <c r="AA1157" s="24">
        <f t="shared" si="399"/>
        <v>2.5618512323567995</v>
      </c>
      <c r="AB1157" s="24">
        <f t="shared" si="399"/>
        <v>2.5618512323567995</v>
      </c>
      <c r="AC1157" s="24">
        <f t="shared" si="399"/>
        <v>2.5618512323567995</v>
      </c>
      <c r="AD1157" s="24">
        <f t="shared" si="399"/>
        <v>2.5618512323567995</v>
      </c>
      <c r="AE1157" s="24">
        <f t="shared" si="399"/>
        <v>2.5618512323567995</v>
      </c>
      <c r="AF1157" s="28"/>
      <c r="AG1157" s="11"/>
    </row>
    <row r="1158" spans="1:33">
      <c r="A1158" s="20"/>
      <c r="B1158" s="5" t="s">
        <v>923</v>
      </c>
      <c r="C1158" s="11"/>
      <c r="D1158" t="s">
        <v>743</v>
      </c>
      <c r="E1158" s="27"/>
      <c r="F1158" s="6"/>
      <c r="G1158" s="28"/>
      <c r="H1158" t="s">
        <v>717</v>
      </c>
      <c r="I1158" s="29"/>
      <c r="J1158" s="11"/>
      <c r="K1158" s="2" t="s">
        <v>719</v>
      </c>
      <c r="L1158" s="11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28"/>
      <c r="AF1158" s="28"/>
      <c r="AG1158" s="11"/>
    </row>
    <row r="1159" spans="1:33">
      <c r="A1159" s="20"/>
      <c r="B1159" s="27" t="s">
        <v>925</v>
      </c>
      <c r="C1159" s="11" t="s">
        <v>924</v>
      </c>
      <c r="E1159" s="27"/>
      <c r="F1159" s="6"/>
      <c r="G1159" s="28"/>
      <c r="I1159" s="29"/>
      <c r="J1159" s="11"/>
      <c r="K1159" s="2"/>
      <c r="L1159" s="11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28"/>
      <c r="AF1159" s="28"/>
      <c r="AG1159" s="11"/>
    </row>
    <row r="1160" spans="1:33">
      <c r="A1160" s="20"/>
      <c r="B1160" s="14"/>
      <c r="C1160" t="s">
        <v>926</v>
      </c>
      <c r="E1160" s="27"/>
      <c r="F1160" s="6"/>
      <c r="G1160" s="28"/>
      <c r="I1160" s="29"/>
      <c r="J1160" s="11"/>
      <c r="K1160" s="2"/>
      <c r="L1160" s="11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F1160" s="28"/>
      <c r="AG1160" s="11"/>
    </row>
    <row r="1161" spans="1:33">
      <c r="A1161" s="20"/>
      <c r="B1161" s="16" t="s">
        <v>742</v>
      </c>
      <c r="C1161" s="11"/>
      <c r="D1161" s="11"/>
      <c r="E1161" s="21"/>
      <c r="F1161" s="21"/>
      <c r="G1161" s="82">
        <f>G1141+G1147+G1151+G1153+G1155+G1157</f>
        <v>317.56350549242876</v>
      </c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/>
      <c r="AE1161" s="24"/>
      <c r="AF1161" s="28"/>
      <c r="AG1161" s="11"/>
    </row>
    <row r="1162" spans="1:33">
      <c r="A1162" s="20"/>
      <c r="B1162" s="16" t="s">
        <v>730</v>
      </c>
      <c r="C1162" s="11"/>
      <c r="D1162" s="11"/>
      <c r="E1162" s="21"/>
      <c r="F1162" s="21"/>
      <c r="G1162" s="82">
        <f>G1138-G1161</f>
        <v>2.9164059491399144</v>
      </c>
      <c r="H1162" s="24"/>
      <c r="I1162" s="32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  <c r="AE1162" s="24"/>
      <c r="AF1162" s="28"/>
      <c r="AG1162" s="11"/>
    </row>
    <row r="1163" spans="1:33">
      <c r="A1163" s="3"/>
      <c r="B1163" s="16"/>
      <c r="C1163" s="11"/>
      <c r="D1163" s="11"/>
      <c r="E1163" s="21"/>
      <c r="F1163" s="21"/>
      <c r="G1163" s="82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  <c r="AA1163" s="24"/>
      <c r="AB1163" s="24"/>
      <c r="AC1163" s="24"/>
      <c r="AD1163" s="24"/>
      <c r="AE1163" s="24"/>
      <c r="AF1163" s="28"/>
      <c r="AG1163" s="11"/>
    </row>
    <row r="1164" spans="1:33">
      <c r="G1164" s="2"/>
      <c r="H1164" s="83"/>
      <c r="I1164" s="83"/>
      <c r="J1164" s="83"/>
      <c r="K1164" s="83"/>
      <c r="L1164" s="83"/>
      <c r="M1164" s="83"/>
      <c r="N1164" s="83"/>
      <c r="O1164" s="83"/>
      <c r="P1164" s="83"/>
      <c r="Q1164" s="83"/>
      <c r="R1164" s="83"/>
      <c r="S1164" s="83"/>
      <c r="T1164" s="83"/>
      <c r="U1164" s="83"/>
      <c r="V1164" s="83"/>
      <c r="W1164" s="83"/>
      <c r="X1164" s="83"/>
      <c r="Y1164" s="83"/>
      <c r="Z1164" s="83"/>
      <c r="AA1164" s="83"/>
      <c r="AB1164" s="83"/>
      <c r="AC1164" s="83"/>
      <c r="AD1164" s="83"/>
      <c r="AE1164" s="83"/>
      <c r="AF1164" s="2"/>
    </row>
    <row r="1165" spans="1:33">
      <c r="G1165" s="9"/>
      <c r="H1165" s="84"/>
      <c r="I1165" s="84"/>
      <c r="J1165" s="84"/>
      <c r="K1165" s="84"/>
      <c r="L1165" s="84"/>
      <c r="M1165" s="84"/>
      <c r="N1165" s="84"/>
      <c r="O1165" s="84"/>
      <c r="P1165" s="84"/>
      <c r="Q1165" s="84"/>
      <c r="R1165" s="84"/>
      <c r="S1165" s="84"/>
      <c r="T1165" s="84"/>
      <c r="U1165" s="84"/>
      <c r="V1165" s="84"/>
      <c r="W1165" s="84"/>
      <c r="X1165" s="84"/>
      <c r="Y1165" s="84"/>
      <c r="Z1165" s="84"/>
      <c r="AA1165" s="84"/>
      <c r="AB1165" s="84"/>
      <c r="AC1165" s="84"/>
      <c r="AD1165" s="84"/>
      <c r="AE1165" s="84"/>
      <c r="AF1165" s="2"/>
    </row>
    <row r="1166" spans="1:33">
      <c r="A1166" s="3"/>
      <c r="G1166" s="19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  <c r="AA1166" s="24"/>
      <c r="AB1166" s="24"/>
      <c r="AC1166" s="24"/>
      <c r="AD1166" s="24"/>
      <c r="AE1166" s="24"/>
      <c r="AF1166" s="28"/>
      <c r="AG1166" s="11"/>
    </row>
    <row r="1167" spans="1:33">
      <c r="B1167" s="5"/>
      <c r="J1167" s="2"/>
      <c r="K1167" s="2"/>
      <c r="L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</row>
    <row r="1168" spans="1:33">
      <c r="A1168" s="20"/>
      <c r="B1168" s="11"/>
      <c r="C1168" s="11"/>
      <c r="E1168" s="14"/>
      <c r="F1168" s="31"/>
      <c r="G1168" s="19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8"/>
      <c r="AG1168" s="11"/>
    </row>
    <row r="1169" spans="1:33">
      <c r="A1169" s="3"/>
      <c r="B1169" s="5"/>
      <c r="C1169" s="11"/>
      <c r="F1169" s="27"/>
      <c r="G1169" s="2"/>
      <c r="H1169" s="2"/>
      <c r="I1169" s="2"/>
      <c r="J1169" s="2"/>
      <c r="K1169" s="2"/>
      <c r="M1169" s="2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  <c r="AE1169" s="28"/>
      <c r="AF1169" s="28"/>
      <c r="AG1169" s="11"/>
    </row>
    <row r="1170" spans="1:33">
      <c r="A1170" s="11"/>
      <c r="C1170" s="11"/>
      <c r="E1170" s="12"/>
      <c r="F1170" s="18"/>
      <c r="G1170" s="2"/>
      <c r="H1170" s="2"/>
      <c r="J1170" s="11"/>
      <c r="AF1170" s="2"/>
    </row>
    <row r="1171" spans="1:33">
      <c r="A1171" s="11"/>
      <c r="C1171" s="11"/>
      <c r="E1171" s="12"/>
      <c r="F1171" s="18"/>
      <c r="G1171" s="19"/>
      <c r="H1171" s="2"/>
      <c r="I1171" s="12"/>
      <c r="K1171" s="11"/>
      <c r="AF1171" s="2"/>
    </row>
    <row r="1172" spans="1:33">
      <c r="A1172" s="11"/>
      <c r="B1172" s="2"/>
      <c r="C1172" s="11"/>
      <c r="E1172" s="12"/>
      <c r="F1172" s="18"/>
      <c r="G1172" s="19"/>
      <c r="H1172" s="2"/>
      <c r="I1172" s="12"/>
      <c r="K1172" s="11"/>
      <c r="AF1172" s="2"/>
    </row>
    <row r="1173" spans="1:33">
      <c r="A1173" s="20"/>
      <c r="G1173" s="19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  <c r="AA1173" s="24"/>
      <c r="AB1173" s="24"/>
      <c r="AC1173" s="24"/>
      <c r="AD1173" s="24"/>
      <c r="AE1173" s="24"/>
      <c r="AF1173" s="2"/>
    </row>
    <row r="1174" spans="1:33">
      <c r="A1174" s="22"/>
      <c r="B1174" s="5"/>
      <c r="C1174" s="11"/>
      <c r="E1174" s="27"/>
      <c r="F1174" s="6"/>
      <c r="G1174" s="28"/>
      <c r="I1174" s="29"/>
      <c r="J1174" s="11"/>
      <c r="K1174" s="2"/>
      <c r="L1174" s="11"/>
      <c r="M1174" s="28"/>
      <c r="AF1174" s="2"/>
    </row>
    <row r="1175" spans="1:33">
      <c r="A1175" s="20"/>
      <c r="B1175" s="11"/>
      <c r="C1175" s="11"/>
      <c r="D1175" s="24"/>
      <c r="E1175" s="27"/>
      <c r="F1175" s="6"/>
      <c r="G1175" s="19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8"/>
      <c r="AG1175" s="11"/>
    </row>
    <row r="1176" spans="1:33">
      <c r="A1176" s="14"/>
      <c r="B1176" s="5"/>
      <c r="E1176" s="12"/>
      <c r="F1176" s="6"/>
      <c r="G1176" s="2"/>
      <c r="H1176" s="2"/>
      <c r="J1176" s="10"/>
      <c r="K1176" s="9"/>
      <c r="AF1176" s="2"/>
    </row>
    <row r="1177" spans="1:33">
      <c r="A1177" s="20"/>
      <c r="B1177" s="16"/>
      <c r="C1177" s="11"/>
      <c r="D1177" s="11"/>
      <c r="E1177" s="21"/>
      <c r="F1177" s="21"/>
      <c r="G1177" s="82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  <c r="AA1177" s="24"/>
      <c r="AB1177" s="24"/>
      <c r="AC1177" s="24"/>
      <c r="AD1177" s="24"/>
      <c r="AE1177" s="24"/>
      <c r="AF1177" s="28"/>
      <c r="AG1177" s="11"/>
    </row>
    <row r="1178" spans="1:33">
      <c r="A1178" s="20"/>
      <c r="B1178" s="16"/>
      <c r="C1178" s="11"/>
      <c r="D1178" s="11"/>
      <c r="E1178" s="21"/>
      <c r="F1178" s="21"/>
      <c r="G1178" s="82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  <c r="AE1178" s="24"/>
      <c r="AF1178" s="28"/>
      <c r="AG1178" s="11"/>
    </row>
    <row r="1179" spans="1:33">
      <c r="B1179" s="16"/>
      <c r="C1179" s="16"/>
      <c r="D1179" s="11"/>
      <c r="E1179" s="21"/>
      <c r="F1179" s="21"/>
      <c r="G1179" s="82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  <c r="AA1179" s="24"/>
      <c r="AB1179" s="24"/>
      <c r="AC1179" s="24"/>
      <c r="AD1179" s="24"/>
      <c r="AE1179" s="24"/>
      <c r="AF1179" s="28"/>
      <c r="AG1179" s="11"/>
    </row>
    <row r="1180" spans="1:33">
      <c r="A1180" s="3"/>
      <c r="B1180" s="16"/>
      <c r="C1180" s="11"/>
      <c r="D1180" s="11"/>
      <c r="E1180" s="21"/>
      <c r="F1180" s="21"/>
      <c r="G1180" s="82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  <c r="AE1180" s="24"/>
      <c r="AF1180" s="28"/>
      <c r="AG1180" s="11"/>
    </row>
    <row r="1181" spans="1:33"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</row>
    <row r="1182" spans="1:33">
      <c r="G1182" s="9"/>
      <c r="H1182" s="84"/>
      <c r="I1182" s="84"/>
      <c r="J1182" s="84"/>
      <c r="K1182" s="84"/>
      <c r="L1182" s="84"/>
      <c r="M1182" s="84"/>
      <c r="N1182" s="84"/>
      <c r="O1182" s="84"/>
      <c r="P1182" s="84"/>
      <c r="Q1182" s="84"/>
      <c r="R1182" s="84"/>
      <c r="S1182" s="84"/>
      <c r="T1182" s="84"/>
      <c r="U1182" s="84"/>
      <c r="V1182" s="84"/>
      <c r="W1182" s="84"/>
      <c r="X1182" s="84"/>
      <c r="Y1182" s="84"/>
      <c r="Z1182" s="84"/>
      <c r="AA1182" s="84"/>
      <c r="AB1182" s="84"/>
      <c r="AC1182" s="84"/>
      <c r="AD1182" s="84"/>
      <c r="AE1182" s="84"/>
      <c r="AF1182" s="2"/>
    </row>
    <row r="1183" spans="1:33">
      <c r="A1183" s="3"/>
      <c r="G1183" s="19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  <c r="AA1183" s="24"/>
      <c r="AB1183" s="24"/>
      <c r="AC1183" s="24"/>
      <c r="AD1183" s="24"/>
      <c r="AE1183" s="24"/>
      <c r="AF1183" s="28"/>
      <c r="AG1183" s="11"/>
    </row>
    <row r="1184" spans="1:33">
      <c r="B1184" s="5"/>
      <c r="J1184" s="2"/>
      <c r="K1184" s="2"/>
      <c r="L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</row>
    <row r="1185" spans="1:33">
      <c r="A1185" s="20"/>
      <c r="B1185" s="11"/>
      <c r="C1185" s="11"/>
      <c r="E1185" s="14"/>
      <c r="F1185" s="31"/>
      <c r="G1185" s="19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8"/>
      <c r="AG1185" s="11"/>
    </row>
    <row r="1186" spans="1:33">
      <c r="A1186" s="3"/>
      <c r="B1186" s="5"/>
      <c r="C1186" s="11"/>
      <c r="F1186" s="27"/>
      <c r="G1186" s="2"/>
      <c r="H1186" s="2"/>
      <c r="I1186" s="2"/>
      <c r="J1186" s="2"/>
      <c r="K1186" s="2"/>
      <c r="M1186" s="2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  <c r="AE1186" s="28"/>
      <c r="AF1186" s="28"/>
      <c r="AG1186" s="11"/>
    </row>
    <row r="1187" spans="1:33">
      <c r="A1187" s="11"/>
      <c r="C1187" s="11"/>
      <c r="E1187" s="12"/>
      <c r="F1187" s="18"/>
      <c r="G1187" s="2"/>
      <c r="H1187" s="2"/>
      <c r="J1187" s="11"/>
      <c r="AF1187" s="2"/>
    </row>
    <row r="1188" spans="1:33">
      <c r="A1188" s="11"/>
      <c r="C1188" s="11"/>
      <c r="E1188" s="12"/>
      <c r="F1188" s="18"/>
      <c r="G1188" s="19"/>
      <c r="H1188" s="2"/>
      <c r="I1188" s="12"/>
      <c r="K1188" s="11"/>
      <c r="AF1188" s="2"/>
    </row>
    <row r="1189" spans="1:33">
      <c r="A1189" s="11"/>
      <c r="B1189" s="2"/>
      <c r="C1189" s="11"/>
      <c r="E1189" s="12"/>
      <c r="F1189" s="18"/>
      <c r="G1189" s="19"/>
      <c r="H1189" s="2"/>
      <c r="I1189" s="12"/>
      <c r="K1189" s="11"/>
      <c r="AF1189" s="2"/>
    </row>
    <row r="1190" spans="1:33">
      <c r="A1190" s="20"/>
      <c r="G1190" s="19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  <c r="AA1190" s="24"/>
      <c r="AB1190" s="24"/>
      <c r="AC1190" s="24"/>
      <c r="AD1190" s="24"/>
      <c r="AE1190" s="24"/>
      <c r="AF1190" s="2"/>
    </row>
    <row r="1191" spans="1:33">
      <c r="A1191" s="22"/>
      <c r="B1191" s="5"/>
      <c r="C1191" s="11"/>
      <c r="E1191" s="27"/>
      <c r="F1191" s="6"/>
      <c r="G1191" s="28"/>
      <c r="I1191" s="29"/>
      <c r="J1191" s="11"/>
      <c r="K1191" s="2"/>
      <c r="L1191" s="11"/>
      <c r="M1191" s="28"/>
      <c r="AF1191" s="2"/>
    </row>
    <row r="1192" spans="1:33">
      <c r="A1192" s="20"/>
      <c r="B1192" s="11"/>
      <c r="C1192" s="11"/>
      <c r="D1192" s="24"/>
      <c r="E1192" s="27"/>
      <c r="F1192" s="6"/>
      <c r="G1192" s="19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8"/>
      <c r="AG1192" s="11"/>
    </row>
    <row r="1193" spans="1:33">
      <c r="A1193" s="14"/>
      <c r="B1193" s="5"/>
      <c r="E1193" s="12"/>
      <c r="F1193" s="6"/>
      <c r="G1193" s="2"/>
      <c r="H1193" s="2"/>
      <c r="J1193" s="10"/>
      <c r="K1193" s="9"/>
      <c r="AF1193" s="2"/>
    </row>
    <row r="1194" spans="1:33">
      <c r="A1194" s="20"/>
      <c r="B1194" s="16"/>
      <c r="C1194" s="11"/>
      <c r="D1194" s="11"/>
      <c r="E1194" s="21"/>
      <c r="F1194" s="21"/>
      <c r="G1194" s="82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  <c r="AA1194" s="24"/>
      <c r="AB1194" s="24"/>
      <c r="AC1194" s="24"/>
      <c r="AD1194" s="24"/>
      <c r="AE1194" s="24"/>
      <c r="AF1194" s="28"/>
      <c r="AG1194" s="11"/>
    </row>
    <row r="1195" spans="1:33">
      <c r="A1195" s="20"/>
      <c r="B1195" s="16"/>
      <c r="C1195" s="11"/>
      <c r="D1195" s="11"/>
      <c r="E1195" s="21"/>
      <c r="F1195" s="21"/>
      <c r="G1195" s="82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  <c r="AA1195" s="24"/>
      <c r="AB1195" s="24"/>
      <c r="AC1195" s="24"/>
      <c r="AD1195" s="24"/>
      <c r="AE1195" s="24"/>
      <c r="AF1195" s="28"/>
      <c r="AG1195" s="11"/>
    </row>
    <row r="1198" spans="1:33" ht="18.75">
      <c r="A1198" s="85"/>
      <c r="B1198" s="30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2"/>
    </row>
    <row r="1199" spans="1:33">
      <c r="A1199" s="3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2"/>
    </row>
    <row r="1200" spans="1:33">
      <c r="B1200" s="11"/>
      <c r="C1200" s="11"/>
      <c r="D1200" s="5"/>
      <c r="E1200" s="12"/>
      <c r="F1200" s="6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</row>
    <row r="1201" spans="1:33">
      <c r="A1201" s="20"/>
      <c r="B1201" s="11"/>
      <c r="C1201" s="11"/>
      <c r="E1201" s="12"/>
      <c r="F1201" s="18"/>
      <c r="G1201" s="19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</row>
    <row r="1202" spans="1:33">
      <c r="A1202" s="20"/>
      <c r="B1202" s="5"/>
      <c r="C1202" s="11"/>
      <c r="E1202" s="12"/>
      <c r="F1202" s="18"/>
      <c r="G1202" s="19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</row>
    <row r="1203" spans="1:33">
      <c r="A1203" s="20"/>
      <c r="G1203" s="19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</row>
    <row r="1204" spans="1:33">
      <c r="A1204" s="20"/>
      <c r="B1204" s="16"/>
      <c r="G1204" s="32"/>
      <c r="H1204" s="33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</row>
    <row r="1205" spans="1:33">
      <c r="A1205" s="22"/>
      <c r="B1205" s="16"/>
      <c r="G1205" s="32"/>
      <c r="H1205" s="33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</row>
    <row r="1206" spans="1:33">
      <c r="A1206" s="3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</row>
    <row r="1207" spans="1:33">
      <c r="A1207" s="3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</row>
    <row r="1208" spans="1:33">
      <c r="A1208" s="3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</row>
    <row r="1209" spans="1:33">
      <c r="A1209" s="3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</row>
    <row r="1210" spans="1:33">
      <c r="A1210" s="3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</row>
    <row r="1211" spans="1:33">
      <c r="G1211" s="2"/>
      <c r="H1211" s="83"/>
      <c r="I1211" s="83"/>
      <c r="J1211" s="83"/>
      <c r="K1211" s="83"/>
      <c r="L1211" s="83"/>
      <c r="M1211" s="83"/>
      <c r="N1211" s="83"/>
      <c r="O1211" s="83"/>
      <c r="P1211" s="83"/>
      <c r="Q1211" s="83"/>
      <c r="R1211" s="83"/>
      <c r="S1211" s="83"/>
      <c r="T1211" s="83"/>
      <c r="U1211" s="83"/>
      <c r="V1211" s="83"/>
      <c r="W1211" s="83"/>
      <c r="X1211" s="83"/>
      <c r="Y1211" s="83"/>
      <c r="Z1211" s="83"/>
      <c r="AA1211" s="83"/>
      <c r="AB1211" s="83"/>
      <c r="AC1211" s="83"/>
      <c r="AD1211" s="83"/>
      <c r="AE1211" s="83"/>
      <c r="AF1211" s="2"/>
    </row>
    <row r="1212" spans="1:33">
      <c r="G1212" s="9"/>
      <c r="H1212" s="84"/>
      <c r="I1212" s="84"/>
      <c r="J1212" s="84"/>
      <c r="K1212" s="84"/>
      <c r="L1212" s="84"/>
      <c r="M1212" s="84"/>
      <c r="N1212" s="84"/>
      <c r="O1212" s="84"/>
      <c r="P1212" s="84"/>
      <c r="Q1212" s="84"/>
      <c r="R1212" s="84"/>
      <c r="S1212" s="84"/>
      <c r="T1212" s="84"/>
      <c r="U1212" s="84"/>
      <c r="V1212" s="84"/>
      <c r="W1212" s="84"/>
      <c r="X1212" s="84"/>
      <c r="Y1212" s="84"/>
      <c r="Z1212" s="84"/>
      <c r="AA1212" s="84"/>
      <c r="AB1212" s="84"/>
      <c r="AC1212" s="84"/>
      <c r="AD1212" s="84"/>
      <c r="AE1212" s="84"/>
      <c r="AF1212" s="2"/>
    </row>
    <row r="1213" spans="1:33" ht="15" customHeight="1">
      <c r="A1213" s="3"/>
      <c r="B1213" s="11"/>
      <c r="C1213" s="11"/>
      <c r="D1213" s="11"/>
      <c r="E1213" s="27"/>
      <c r="F1213" s="6"/>
      <c r="G1213" s="19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  <c r="V1213" s="24"/>
      <c r="W1213" s="24"/>
      <c r="X1213" s="24"/>
      <c r="Y1213" s="24"/>
      <c r="Z1213" s="24"/>
      <c r="AA1213" s="24"/>
      <c r="AB1213" s="24"/>
      <c r="AC1213" s="24"/>
      <c r="AD1213" s="24"/>
      <c r="AE1213" s="24"/>
      <c r="AF1213" s="28"/>
      <c r="AG1213" s="11"/>
    </row>
    <row r="1214" spans="1:33">
      <c r="A1214" s="3"/>
      <c r="B1214" s="5"/>
      <c r="C1214" s="11"/>
      <c r="F1214" s="27"/>
      <c r="I1214" s="2"/>
      <c r="K1214" s="2"/>
      <c r="M1214" s="2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  <c r="AE1214" s="28"/>
      <c r="AF1214" s="28"/>
      <c r="AG1214" s="11"/>
    </row>
    <row r="1215" spans="1:33">
      <c r="A1215" s="3"/>
      <c r="C1215" s="11"/>
      <c r="D1215" s="2"/>
      <c r="F1215" s="27"/>
      <c r="G1215" s="2"/>
      <c r="I1215" s="2"/>
      <c r="K1215" s="2"/>
      <c r="M1215" s="2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  <c r="AE1215" s="28"/>
      <c r="AF1215" s="28"/>
      <c r="AG1215" s="11"/>
    </row>
    <row r="1216" spans="1:33">
      <c r="A1216" s="20"/>
      <c r="B1216" s="11"/>
      <c r="C1216" s="11"/>
      <c r="D1216" s="11"/>
      <c r="E1216" s="27"/>
      <c r="F1216" s="6"/>
      <c r="G1216" s="19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  <c r="V1216" s="24"/>
      <c r="W1216" s="24"/>
      <c r="X1216" s="24"/>
      <c r="Y1216" s="24"/>
      <c r="Z1216" s="24"/>
      <c r="AA1216" s="24"/>
      <c r="AB1216" s="24"/>
      <c r="AC1216" s="24"/>
      <c r="AD1216" s="24"/>
      <c r="AE1216" s="24"/>
      <c r="AF1216" s="28"/>
      <c r="AG1216" s="11"/>
    </row>
    <row r="1217" spans="1:33">
      <c r="A1217" s="20"/>
      <c r="B1217" s="5"/>
      <c r="C1217" s="11"/>
      <c r="G1217" s="27"/>
      <c r="H1217" s="2"/>
      <c r="M1217" s="28"/>
      <c r="O1217" s="28"/>
      <c r="P1217" s="28"/>
      <c r="Q1217" s="11"/>
      <c r="R1217" s="28"/>
      <c r="S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  <c r="AE1217" s="28"/>
      <c r="AF1217" s="28"/>
      <c r="AG1217" s="11"/>
    </row>
    <row r="1218" spans="1:33">
      <c r="A1218" s="20"/>
      <c r="B1218" s="11"/>
      <c r="C1218" s="11"/>
      <c r="D1218" s="11"/>
      <c r="E1218" s="27"/>
      <c r="F1218" s="6"/>
      <c r="G1218" s="19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  <c r="W1218" s="24"/>
      <c r="X1218" s="24"/>
      <c r="Y1218" s="24"/>
      <c r="Z1218" s="24"/>
      <c r="AA1218" s="24"/>
      <c r="AB1218" s="24"/>
      <c r="AC1218" s="24"/>
      <c r="AD1218" s="24"/>
      <c r="AE1218" s="24"/>
      <c r="AF1218" s="28"/>
      <c r="AG1218" s="11"/>
    </row>
    <row r="1219" spans="1:33">
      <c r="A1219" s="20"/>
      <c r="B1219" s="5"/>
      <c r="C1219" s="11"/>
      <c r="E1219" s="27"/>
      <c r="F1219" s="6"/>
      <c r="G1219" s="28"/>
      <c r="I1219" s="29"/>
      <c r="J1219" s="11"/>
      <c r="K1219" s="2"/>
      <c r="L1219" s="11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  <c r="AE1219" s="28"/>
      <c r="AF1219" s="28"/>
      <c r="AG1219" s="11"/>
    </row>
    <row r="1220" spans="1:33">
      <c r="A1220" s="20"/>
      <c r="B1220" s="11"/>
      <c r="C1220" s="11"/>
      <c r="D1220" s="11"/>
      <c r="E1220" s="27"/>
      <c r="F1220" s="6"/>
      <c r="G1220" s="19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  <c r="V1220" s="24"/>
      <c r="W1220" s="24"/>
      <c r="X1220" s="24"/>
      <c r="Y1220" s="24"/>
      <c r="Z1220" s="24"/>
      <c r="AA1220" s="24"/>
      <c r="AB1220" s="24"/>
      <c r="AC1220" s="24"/>
      <c r="AD1220" s="24"/>
      <c r="AE1220" s="24"/>
      <c r="AF1220" s="28"/>
      <c r="AG1220" s="11"/>
    </row>
    <row r="1221" spans="1:33">
      <c r="A1221" s="20"/>
      <c r="B1221" s="5"/>
      <c r="C1221" s="11"/>
      <c r="E1221" s="2"/>
      <c r="G1221" s="2"/>
      <c r="I1221" s="11"/>
      <c r="J1221" s="28"/>
      <c r="K1221" s="2"/>
      <c r="L1221" s="12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28"/>
      <c r="AE1221" s="28"/>
      <c r="AF1221" s="28"/>
      <c r="AG1221" s="11"/>
    </row>
    <row r="1222" spans="1:33">
      <c r="B1222" s="12"/>
      <c r="E1222" s="12"/>
      <c r="F1222" s="6"/>
      <c r="G1222" s="32"/>
      <c r="H1222" s="33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</row>
    <row r="1223" spans="1:33">
      <c r="B1223" s="11"/>
      <c r="C1223" s="14"/>
      <c r="E1223" s="12"/>
      <c r="F1223" s="6"/>
      <c r="G1223" s="32"/>
      <c r="H1223" s="33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</row>
    <row r="1224" spans="1:33">
      <c r="A1224" s="20"/>
      <c r="B1224" s="16"/>
      <c r="C1224" s="11"/>
      <c r="D1224" s="11"/>
      <c r="E1224" s="27"/>
      <c r="F1224" s="6"/>
      <c r="G1224" s="32"/>
      <c r="H1224" s="33"/>
      <c r="I1224" s="29"/>
      <c r="J1224" s="28"/>
      <c r="K1224" s="11"/>
      <c r="L1224" s="11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  <c r="AE1224" s="28"/>
      <c r="AF1224" s="28"/>
      <c r="AG1224" s="11"/>
    </row>
    <row r="1225" spans="1:33">
      <c r="A1225" s="20"/>
      <c r="B1225" s="16"/>
      <c r="G1225" s="32"/>
      <c r="H1225" s="33"/>
      <c r="I1225" s="86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</row>
    <row r="1226" spans="1:33">
      <c r="A1226" s="20"/>
      <c r="B1226" s="16"/>
      <c r="G1226" s="32"/>
      <c r="H1226" s="33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</row>
    <row r="1227" spans="1:33">
      <c r="A1227" s="3"/>
      <c r="B1227" s="16"/>
      <c r="C1227" s="11"/>
      <c r="D1227" s="11"/>
      <c r="E1227" s="27"/>
      <c r="F1227" s="6"/>
      <c r="G1227" s="32"/>
      <c r="H1227" s="33"/>
      <c r="I1227" s="29"/>
      <c r="J1227" s="28"/>
      <c r="K1227" s="11"/>
      <c r="L1227" s="11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  <c r="AE1227" s="28"/>
      <c r="AF1227" s="28"/>
      <c r="AG1227" s="11"/>
    </row>
    <row r="1228" spans="1:33"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</row>
    <row r="1229" spans="1:33">
      <c r="G1229" s="9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2"/>
    </row>
    <row r="1230" spans="1:33" ht="15" customHeight="1">
      <c r="A1230" s="3"/>
      <c r="B1230" s="11"/>
      <c r="C1230" s="11"/>
      <c r="D1230" s="11"/>
      <c r="E1230" s="27"/>
      <c r="F1230" s="6"/>
      <c r="G1230" s="19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  <c r="V1230" s="24"/>
      <c r="W1230" s="24"/>
      <c r="X1230" s="24"/>
      <c r="Y1230" s="24"/>
      <c r="Z1230" s="24"/>
      <c r="AA1230" s="24"/>
      <c r="AB1230" s="24"/>
      <c r="AC1230" s="24"/>
      <c r="AD1230" s="24"/>
      <c r="AE1230" s="24"/>
      <c r="AF1230" s="28"/>
      <c r="AG1230" s="11"/>
    </row>
    <row r="1231" spans="1:33">
      <c r="A1231" s="3"/>
      <c r="B1231" s="5"/>
      <c r="C1231" s="11"/>
      <c r="F1231" s="27"/>
      <c r="I1231" s="2"/>
      <c r="K1231" s="2"/>
      <c r="M1231" s="2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  <c r="AE1231" s="28"/>
      <c r="AF1231" s="28"/>
      <c r="AG1231" s="11"/>
    </row>
    <row r="1232" spans="1:33">
      <c r="A1232" s="3"/>
      <c r="C1232" s="11"/>
      <c r="D1232" s="2"/>
      <c r="F1232" s="27"/>
      <c r="G1232" s="2"/>
      <c r="I1232" s="2"/>
      <c r="K1232" s="2"/>
      <c r="M1232" s="2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  <c r="AE1232" s="28"/>
      <c r="AF1232" s="28"/>
      <c r="AG1232" s="11"/>
    </row>
    <row r="1233" spans="1:33">
      <c r="A1233" s="20"/>
      <c r="B1233" s="11"/>
      <c r="C1233" s="11"/>
      <c r="D1233" s="11"/>
      <c r="E1233" s="27"/>
      <c r="F1233" s="6"/>
      <c r="G1233" s="19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  <c r="W1233" s="24"/>
      <c r="X1233" s="24"/>
      <c r="Y1233" s="24"/>
      <c r="Z1233" s="24"/>
      <c r="AA1233" s="24"/>
      <c r="AB1233" s="24"/>
      <c r="AC1233" s="24"/>
      <c r="AD1233" s="24"/>
      <c r="AE1233" s="24"/>
      <c r="AF1233" s="28"/>
      <c r="AG1233" s="11"/>
    </row>
    <row r="1234" spans="1:33">
      <c r="A1234" s="20"/>
      <c r="B1234" s="5"/>
      <c r="C1234" s="11"/>
      <c r="F1234" s="27"/>
      <c r="G1234" s="6"/>
      <c r="H1234" s="2"/>
      <c r="M1234" s="28"/>
      <c r="O1234" s="28"/>
      <c r="P1234" s="28"/>
      <c r="Q1234" s="11"/>
      <c r="R1234" s="28"/>
      <c r="S1234" s="28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  <c r="AE1234" s="28"/>
      <c r="AF1234" s="28"/>
      <c r="AG1234" s="11"/>
    </row>
    <row r="1235" spans="1:33">
      <c r="A1235" s="20"/>
      <c r="B1235" s="11"/>
      <c r="C1235" s="11"/>
      <c r="D1235" s="11"/>
      <c r="E1235" s="27"/>
      <c r="F1235" s="6"/>
      <c r="G1235" s="19"/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  <c r="V1235" s="24"/>
      <c r="W1235" s="24"/>
      <c r="X1235" s="24"/>
      <c r="Y1235" s="24"/>
      <c r="Z1235" s="24"/>
      <c r="AA1235" s="24"/>
      <c r="AB1235" s="24"/>
      <c r="AC1235" s="24"/>
      <c r="AD1235" s="24"/>
      <c r="AE1235" s="24"/>
      <c r="AF1235" s="28"/>
      <c r="AG1235" s="11"/>
    </row>
    <row r="1236" spans="1:33">
      <c r="A1236" s="20"/>
      <c r="B1236" s="5"/>
      <c r="C1236" s="11"/>
      <c r="E1236" s="27"/>
      <c r="F1236" s="6"/>
      <c r="G1236" s="28"/>
      <c r="I1236" s="29"/>
      <c r="J1236" s="11"/>
      <c r="K1236" s="2"/>
      <c r="L1236" s="11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  <c r="AE1236" s="28"/>
      <c r="AF1236" s="28"/>
      <c r="AG1236" s="11"/>
    </row>
    <row r="1237" spans="1:33">
      <c r="A1237" s="20"/>
      <c r="B1237" s="11"/>
      <c r="C1237" s="11"/>
      <c r="D1237" s="11"/>
      <c r="E1237" s="27"/>
      <c r="F1237" s="6"/>
      <c r="G1237" s="19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  <c r="V1237" s="24"/>
      <c r="W1237" s="24"/>
      <c r="X1237" s="24"/>
      <c r="Y1237" s="24"/>
      <c r="Z1237" s="24"/>
      <c r="AA1237" s="24"/>
      <c r="AB1237" s="24"/>
      <c r="AC1237" s="24"/>
      <c r="AD1237" s="24"/>
      <c r="AE1237" s="24"/>
      <c r="AF1237" s="28"/>
      <c r="AG1237" s="11"/>
    </row>
    <row r="1238" spans="1:33">
      <c r="A1238" s="20"/>
      <c r="B1238" s="5"/>
      <c r="C1238" s="11"/>
      <c r="E1238" s="2"/>
      <c r="G1238" s="2"/>
      <c r="I1238" s="11"/>
      <c r="J1238" s="28"/>
      <c r="K1238" s="2"/>
      <c r="L1238" s="12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28"/>
      <c r="AE1238" s="28"/>
      <c r="AF1238" s="28"/>
      <c r="AG1238" s="11"/>
    </row>
    <row r="1239" spans="1:33">
      <c r="A1239" s="20"/>
      <c r="B1239" s="16"/>
      <c r="C1239" s="11"/>
      <c r="D1239" s="11"/>
      <c r="E1239" s="27"/>
      <c r="F1239" s="6"/>
      <c r="G1239" s="32"/>
      <c r="H1239" s="33"/>
      <c r="I1239" s="29"/>
      <c r="J1239" s="28"/>
      <c r="K1239" s="11"/>
      <c r="L1239" s="11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  <c r="AE1239" s="28"/>
      <c r="AF1239" s="28"/>
      <c r="AG1239" s="11"/>
    </row>
    <row r="1240" spans="1:33">
      <c r="A1240" s="20"/>
      <c r="B1240" s="16"/>
      <c r="G1240" s="32"/>
      <c r="H1240" s="33"/>
      <c r="I1240" s="86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</row>
    <row r="1241" spans="1:33">
      <c r="A1241" s="39"/>
      <c r="B1241" s="16"/>
      <c r="G1241" s="32"/>
      <c r="H1241" s="33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</row>
    <row r="1242" spans="1:33">
      <c r="A1242" s="3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</row>
    <row r="1243" spans="1:33">
      <c r="A1243" s="1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</row>
    <row r="1244" spans="1:33">
      <c r="A1244" s="3"/>
      <c r="B1244" s="1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</row>
    <row r="1245" spans="1:33">
      <c r="A1245" s="20"/>
      <c r="B1245" s="11"/>
      <c r="C1245" s="11"/>
      <c r="D1245" s="11"/>
      <c r="E1245" s="14"/>
      <c r="F1245" s="31"/>
      <c r="G1245" s="19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</row>
    <row r="1246" spans="1:33">
      <c r="A1246" s="5"/>
      <c r="B1246" s="5"/>
      <c r="C1246" s="11"/>
      <c r="E1246" s="12"/>
      <c r="F1246" s="18"/>
      <c r="G1246" s="19"/>
      <c r="H1246" s="2"/>
      <c r="I1246" s="2"/>
      <c r="J1246" s="2"/>
      <c r="K1246" s="26"/>
      <c r="L1246" s="2"/>
      <c r="M1246" s="2"/>
      <c r="N1246" s="2"/>
      <c r="O1246" s="26"/>
      <c r="P1246" s="2"/>
      <c r="Q1246" s="2"/>
      <c r="R1246" s="26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</row>
    <row r="1247" spans="1:33">
      <c r="A1247" s="20"/>
      <c r="G1247" s="19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</row>
    <row r="1248" spans="1:33">
      <c r="A1248" s="16"/>
      <c r="B1248" s="5"/>
      <c r="G1248" s="19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</row>
    <row r="1249" spans="1:32">
      <c r="A1249" s="16"/>
      <c r="B1249" s="12"/>
      <c r="G1249" s="19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</row>
    <row r="1250" spans="1:32">
      <c r="A1250" s="20"/>
      <c r="E1250" s="12"/>
      <c r="F1250" s="6"/>
      <c r="G1250" s="19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</row>
    <row r="1251" spans="1:32">
      <c r="A1251" s="20"/>
      <c r="C1251" s="5"/>
      <c r="E1251" s="12"/>
      <c r="F1251" s="6"/>
      <c r="G1251" s="19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</row>
    <row r="1252" spans="1:32">
      <c r="A1252" s="20"/>
      <c r="B1252" s="12"/>
      <c r="C1252" s="5"/>
      <c r="E1252" s="12"/>
      <c r="F1252" s="6"/>
      <c r="G1252" s="19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</row>
    <row r="1253" spans="1:32">
      <c r="A1253" s="20"/>
      <c r="E1253" s="12"/>
      <c r="F1253" s="6"/>
      <c r="G1253" s="19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</row>
    <row r="1254" spans="1:32">
      <c r="A1254" s="20"/>
      <c r="E1254" s="30"/>
      <c r="F1254" s="6"/>
      <c r="G1254" s="19"/>
      <c r="I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</row>
    <row r="1255" spans="1:32">
      <c r="A1255" s="20"/>
      <c r="B1255" s="16"/>
      <c r="E1255" s="30"/>
      <c r="F1255" s="6"/>
      <c r="G1255" s="32"/>
      <c r="H1255" s="33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</row>
    <row r="1256" spans="1:32">
      <c r="A1256" s="20"/>
      <c r="B1256" s="16"/>
      <c r="E1256" s="30"/>
      <c r="F1256" s="6"/>
      <c r="G1256" s="32"/>
      <c r="H1256" s="33"/>
      <c r="I1256" s="3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</row>
    <row r="1257" spans="1:32">
      <c r="A1257" s="3"/>
      <c r="E1257" s="12"/>
      <c r="F1257" s="6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</row>
    <row r="1258" spans="1:32">
      <c r="G1258" s="2"/>
      <c r="H1258" s="83"/>
      <c r="I1258" s="83"/>
      <c r="J1258" s="83"/>
      <c r="K1258" s="83"/>
      <c r="L1258" s="83"/>
      <c r="M1258" s="83"/>
      <c r="N1258" s="83"/>
      <c r="O1258" s="83"/>
      <c r="P1258" s="83"/>
      <c r="Q1258" s="83"/>
      <c r="R1258" s="83"/>
      <c r="S1258" s="83"/>
      <c r="T1258" s="83"/>
      <c r="U1258" s="83"/>
      <c r="V1258" s="83"/>
      <c r="W1258" s="83"/>
      <c r="X1258" s="83"/>
      <c r="Y1258" s="83"/>
      <c r="Z1258" s="83"/>
      <c r="AA1258" s="83"/>
      <c r="AB1258" s="83"/>
      <c r="AC1258" s="83"/>
      <c r="AD1258" s="83"/>
      <c r="AE1258" s="83"/>
      <c r="AF1258" s="2"/>
    </row>
    <row r="1259" spans="1:32">
      <c r="G1259" s="9"/>
      <c r="H1259" s="84"/>
      <c r="I1259" s="84"/>
      <c r="J1259" s="84"/>
      <c r="K1259" s="84"/>
      <c r="L1259" s="84"/>
      <c r="M1259" s="84"/>
      <c r="N1259" s="84"/>
      <c r="O1259" s="84"/>
      <c r="P1259" s="84"/>
      <c r="Q1259" s="84"/>
      <c r="R1259" s="84"/>
      <c r="S1259" s="84"/>
      <c r="T1259" s="84"/>
      <c r="U1259" s="84"/>
      <c r="V1259" s="84"/>
      <c r="W1259" s="84"/>
      <c r="X1259" s="84"/>
      <c r="Y1259" s="84"/>
      <c r="Z1259" s="84"/>
      <c r="AA1259" s="84"/>
      <c r="AB1259" s="84"/>
      <c r="AC1259" s="84"/>
      <c r="AD1259" s="84"/>
      <c r="AE1259" s="84"/>
      <c r="AF1259" s="2"/>
    </row>
    <row r="1260" spans="1:32">
      <c r="A1260" s="3"/>
      <c r="G1260" s="19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  <c r="AE1260" s="24"/>
      <c r="AF1260" s="2"/>
    </row>
    <row r="1261" spans="1:32">
      <c r="B1261" s="5"/>
      <c r="J1261" s="2"/>
      <c r="K1261" s="2"/>
      <c r="L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</row>
    <row r="1262" spans="1:32">
      <c r="A1262" s="20"/>
      <c r="G1262" s="19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</row>
    <row r="1263" spans="1:32">
      <c r="B1263" s="5"/>
      <c r="C1263" s="11"/>
      <c r="E1263" s="12"/>
      <c r="F1263" s="18"/>
      <c r="G1263" s="2"/>
      <c r="I1263" s="2"/>
      <c r="K1263" s="9"/>
      <c r="AF1263" s="2"/>
    </row>
    <row r="1264" spans="1:32">
      <c r="A1264" s="11"/>
      <c r="C1264" s="11"/>
      <c r="E1264" s="12"/>
      <c r="F1264" s="18"/>
      <c r="G1264" s="2"/>
      <c r="H1264" s="2"/>
      <c r="J1264" s="11"/>
      <c r="AF1264" s="2"/>
    </row>
    <row r="1265" spans="1:32">
      <c r="A1265" s="11"/>
      <c r="C1265" s="11"/>
      <c r="E1265" s="12"/>
      <c r="F1265" s="18"/>
      <c r="G1265" s="19"/>
      <c r="I1265" s="12"/>
      <c r="K1265" s="11"/>
      <c r="AF1265" s="2"/>
    </row>
    <row r="1266" spans="1:32">
      <c r="A1266" s="11"/>
      <c r="B1266" s="2"/>
      <c r="C1266" s="11"/>
      <c r="E1266" s="12"/>
      <c r="F1266" s="18"/>
      <c r="G1266" s="19"/>
      <c r="H1266" s="2"/>
      <c r="K1266" s="11"/>
      <c r="L1266" s="12"/>
      <c r="AF1266" s="2"/>
    </row>
    <row r="1267" spans="1:32">
      <c r="A1267" s="20"/>
      <c r="G1267" s="19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</row>
    <row r="1268" spans="1:32">
      <c r="A1268" s="14"/>
      <c r="B1268" s="5"/>
      <c r="G1268" s="2"/>
      <c r="H1268" s="2"/>
      <c r="I1268" s="2"/>
      <c r="J1268" s="10"/>
      <c r="K1268" s="9"/>
      <c r="AF1268" s="2"/>
    </row>
    <row r="1269" spans="1:32">
      <c r="A1269" s="11"/>
      <c r="C1269" s="11"/>
      <c r="E1269" s="12"/>
      <c r="F1269" s="18"/>
      <c r="G1269" s="2"/>
      <c r="H1269" s="2"/>
      <c r="J1269" s="11"/>
      <c r="M1269" s="10"/>
      <c r="N1269" s="10"/>
      <c r="AF1269" s="2"/>
    </row>
    <row r="1270" spans="1:32">
      <c r="A1270" s="11"/>
      <c r="C1270" s="11"/>
      <c r="E1270" s="12"/>
      <c r="F1270" s="18"/>
      <c r="G1270" s="19"/>
      <c r="J1270" s="11"/>
      <c r="M1270" s="10"/>
      <c r="N1270" s="10"/>
      <c r="AF1270" s="2"/>
    </row>
    <row r="1271" spans="1:32">
      <c r="A1271" s="20"/>
      <c r="G1271" s="19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  <c r="V1271" s="24"/>
      <c r="W1271" s="24"/>
      <c r="X1271" s="24"/>
      <c r="Y1271" s="24"/>
      <c r="Z1271" s="24"/>
      <c r="AA1271" s="24"/>
      <c r="AB1271" s="24"/>
      <c r="AC1271" s="24"/>
      <c r="AD1271" s="24"/>
      <c r="AE1271" s="24"/>
      <c r="AF1271" s="2"/>
    </row>
    <row r="1272" spans="1:32">
      <c r="A1272" s="22"/>
      <c r="B1272" s="5"/>
      <c r="C1272" s="11"/>
      <c r="E1272" s="27"/>
      <c r="F1272" s="6"/>
      <c r="G1272" s="28"/>
      <c r="I1272" s="29"/>
      <c r="J1272" s="11"/>
      <c r="K1272" s="2"/>
      <c r="L1272" s="11"/>
      <c r="M1272" s="28"/>
      <c r="AF1272" s="2"/>
    </row>
    <row r="1273" spans="1:32">
      <c r="A1273" s="20"/>
      <c r="G1273" s="19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</row>
    <row r="1274" spans="1:32">
      <c r="A1274" s="14"/>
      <c r="B1274" s="5"/>
      <c r="E1274" s="12"/>
      <c r="F1274" s="6"/>
      <c r="G1274" s="2"/>
      <c r="I1274" s="2"/>
      <c r="J1274" s="10"/>
      <c r="K1274" s="9"/>
      <c r="AF1274" s="2"/>
    </row>
    <row r="1275" spans="1:32">
      <c r="A1275" s="20"/>
      <c r="G1275" s="19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</row>
    <row r="1276" spans="1:32">
      <c r="A1276" s="14"/>
      <c r="E1276" s="30"/>
      <c r="H1276" s="2"/>
      <c r="I1276" s="2"/>
      <c r="J1276" s="2"/>
      <c r="K1276" s="9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</row>
    <row r="1277" spans="1:32">
      <c r="A1277" s="3"/>
      <c r="B1277" s="16"/>
      <c r="E1277" s="12"/>
      <c r="F1277" s="6"/>
      <c r="G1277" s="32"/>
      <c r="H1277" s="2"/>
      <c r="I1277" s="29"/>
      <c r="K1277" s="10"/>
      <c r="L1277" s="3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</row>
    <row r="1278" spans="1:32">
      <c r="A1278" s="20"/>
      <c r="B1278" s="16"/>
      <c r="E1278" s="30"/>
      <c r="F1278" s="6"/>
      <c r="G1278" s="32"/>
      <c r="H1278" s="33"/>
      <c r="I1278" s="86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</row>
    <row r="1279" spans="1:32">
      <c r="A1279" s="20"/>
      <c r="B1279" s="16"/>
      <c r="E1279" s="30"/>
      <c r="F1279" s="6"/>
      <c r="G1279" s="32"/>
      <c r="H1279" s="33"/>
      <c r="I1279" s="3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</row>
    <row r="1280" spans="1:32">
      <c r="A1280" s="3"/>
      <c r="E1280" s="12"/>
      <c r="F1280" s="6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</row>
    <row r="1281" spans="1:32"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</row>
    <row r="1282" spans="1:32">
      <c r="G1282" s="9"/>
      <c r="H1282" s="84"/>
      <c r="I1282" s="84"/>
      <c r="J1282" s="84"/>
      <c r="K1282" s="84"/>
      <c r="L1282" s="84"/>
      <c r="M1282" s="84"/>
      <c r="N1282" s="84"/>
      <c r="O1282" s="84"/>
      <c r="P1282" s="84"/>
      <c r="Q1282" s="84"/>
      <c r="R1282" s="84"/>
      <c r="S1282" s="84"/>
      <c r="T1282" s="84"/>
      <c r="U1282" s="84"/>
      <c r="V1282" s="84"/>
      <c r="W1282" s="84"/>
      <c r="X1282" s="84"/>
      <c r="Y1282" s="84"/>
      <c r="Z1282" s="84"/>
      <c r="AA1282" s="84"/>
      <c r="AB1282" s="84"/>
      <c r="AC1282" s="84"/>
      <c r="AD1282" s="84"/>
      <c r="AE1282" s="84"/>
      <c r="AF1282" s="2"/>
    </row>
    <row r="1283" spans="1:32">
      <c r="A1283" s="3"/>
      <c r="G1283" s="19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  <c r="V1283" s="24"/>
      <c r="W1283" s="24"/>
      <c r="X1283" s="24"/>
      <c r="Y1283" s="24"/>
      <c r="Z1283" s="24"/>
      <c r="AA1283" s="24"/>
      <c r="AB1283" s="24"/>
      <c r="AC1283" s="24"/>
      <c r="AD1283" s="24"/>
      <c r="AE1283" s="24"/>
      <c r="AF1283" s="2"/>
    </row>
    <row r="1284" spans="1:32">
      <c r="C1284" s="5"/>
      <c r="J1284" s="2"/>
      <c r="K1284" s="2"/>
      <c r="L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</row>
    <row r="1285" spans="1:32">
      <c r="A1285" s="20"/>
      <c r="G1285" s="19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</row>
    <row r="1286" spans="1:32">
      <c r="B1286" s="5"/>
      <c r="C1286" s="11"/>
      <c r="E1286" s="12"/>
      <c r="F1286" s="18"/>
      <c r="G1286" s="19"/>
      <c r="H1286" s="2"/>
      <c r="I1286" s="2"/>
      <c r="J1286" s="2"/>
      <c r="K1286" s="9"/>
      <c r="AF1286" s="2"/>
    </row>
    <row r="1287" spans="1:32">
      <c r="A1287" s="11"/>
      <c r="C1287" s="11"/>
      <c r="E1287" s="12"/>
      <c r="F1287" s="18"/>
      <c r="G1287" s="2"/>
      <c r="H1287" s="2"/>
      <c r="J1287" s="11"/>
      <c r="AF1287" s="2"/>
    </row>
    <row r="1288" spans="1:32">
      <c r="A1288" s="11"/>
      <c r="C1288" s="11"/>
      <c r="E1288" s="12"/>
      <c r="F1288" s="18"/>
      <c r="G1288" s="19"/>
      <c r="H1288" s="2"/>
      <c r="I1288" s="12"/>
      <c r="K1288" s="11"/>
      <c r="AF1288" s="2"/>
    </row>
    <row r="1289" spans="1:32">
      <c r="A1289" s="11"/>
      <c r="B1289" s="2"/>
      <c r="C1289" s="11"/>
      <c r="E1289" s="12"/>
      <c r="F1289" s="18"/>
      <c r="G1289" s="19"/>
      <c r="H1289" s="2"/>
      <c r="I1289" s="12"/>
      <c r="K1289" s="11"/>
      <c r="AF1289" s="2"/>
    </row>
    <row r="1290" spans="1:32">
      <c r="A1290" s="20"/>
      <c r="G1290" s="19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</row>
    <row r="1291" spans="1:32">
      <c r="A1291" s="14"/>
      <c r="B1291" s="5"/>
      <c r="G1291" s="2"/>
      <c r="H1291" s="2"/>
      <c r="I1291" s="2"/>
      <c r="J1291" s="10"/>
      <c r="K1291" s="9"/>
      <c r="AF1291" s="2"/>
    </row>
    <row r="1292" spans="1:32">
      <c r="A1292" s="11"/>
      <c r="C1292" s="11"/>
      <c r="E1292" s="12"/>
      <c r="F1292" s="18"/>
      <c r="G1292" s="2"/>
      <c r="H1292" s="2"/>
      <c r="J1292" s="11"/>
      <c r="M1292" s="10"/>
      <c r="N1292" s="10"/>
      <c r="AF1292" s="2"/>
    </row>
    <row r="1293" spans="1:32">
      <c r="A1293" s="11"/>
      <c r="C1293" s="11"/>
      <c r="E1293" s="12"/>
      <c r="F1293" s="18"/>
      <c r="G1293" s="19"/>
      <c r="H1293" s="2"/>
      <c r="J1293" s="11"/>
      <c r="M1293" s="10"/>
      <c r="N1293" s="10"/>
      <c r="AF1293" s="2"/>
    </row>
    <row r="1294" spans="1:32">
      <c r="A1294" s="20"/>
      <c r="G1294" s="19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  <c r="V1294" s="24"/>
      <c r="W1294" s="24"/>
      <c r="X1294" s="24"/>
      <c r="Y1294" s="24"/>
      <c r="Z1294" s="24"/>
      <c r="AA1294" s="24"/>
      <c r="AB1294" s="24"/>
      <c r="AC1294" s="24"/>
      <c r="AD1294" s="24"/>
      <c r="AE1294" s="24"/>
      <c r="AF1294" s="2"/>
    </row>
    <row r="1295" spans="1:32">
      <c r="A1295" s="22"/>
      <c r="B1295" s="5"/>
      <c r="C1295" s="11"/>
      <c r="E1295" s="27"/>
      <c r="F1295" s="6"/>
      <c r="G1295" s="28"/>
      <c r="I1295" s="29"/>
      <c r="J1295" s="11"/>
      <c r="K1295" s="2"/>
      <c r="L1295" s="11"/>
      <c r="M1295" s="28"/>
      <c r="AF1295" s="2"/>
    </row>
    <row r="1296" spans="1:32">
      <c r="A1296" s="20"/>
      <c r="G1296" s="19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</row>
    <row r="1297" spans="1:33">
      <c r="A1297" s="14"/>
      <c r="B1297" s="5"/>
      <c r="E1297" s="12"/>
      <c r="F1297" s="6"/>
      <c r="G1297" s="2"/>
      <c r="I1297" s="2"/>
      <c r="J1297" s="10"/>
      <c r="K1297" s="9"/>
      <c r="AF1297" s="2"/>
    </row>
    <row r="1298" spans="1:33">
      <c r="A1298" s="20"/>
      <c r="G1298" s="19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</row>
    <row r="1299" spans="1:33">
      <c r="A1299" s="14"/>
      <c r="E1299" s="30"/>
      <c r="H1299" s="2"/>
      <c r="I1299" s="2"/>
      <c r="J1299" s="2"/>
      <c r="K1299" s="9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</row>
    <row r="1300" spans="1:33">
      <c r="A1300" s="3"/>
      <c r="B1300" s="16"/>
      <c r="E1300" s="12"/>
      <c r="F1300" s="6"/>
      <c r="G1300" s="32"/>
      <c r="H1300" s="2"/>
      <c r="I1300" s="29"/>
      <c r="K1300" s="10"/>
      <c r="L1300" s="3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</row>
    <row r="1301" spans="1:33">
      <c r="A1301" s="20"/>
      <c r="B1301" s="16"/>
      <c r="E1301" s="30"/>
      <c r="F1301" s="6"/>
      <c r="G1301" s="32"/>
      <c r="H1301" s="33"/>
      <c r="I1301" s="86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</row>
    <row r="1302" spans="1:33">
      <c r="A1302" s="39"/>
      <c r="B1302" s="16"/>
      <c r="E1302" s="30"/>
      <c r="F1302" s="6"/>
      <c r="G1302" s="32"/>
      <c r="H1302" s="33"/>
      <c r="I1302" s="3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</row>
    <row r="1303" spans="1:33">
      <c r="A1303" s="3"/>
      <c r="E1303" s="12"/>
      <c r="F1303" s="6"/>
      <c r="G1303" s="87"/>
      <c r="H1303" s="21"/>
      <c r="I1303" s="2"/>
      <c r="J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</row>
    <row r="1304" spans="1:33">
      <c r="A1304" s="20"/>
      <c r="B1304" s="11"/>
      <c r="C1304" s="11"/>
      <c r="E1304" s="14"/>
      <c r="F1304" s="31"/>
      <c r="G1304" s="19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8"/>
      <c r="AG1304" s="11"/>
    </row>
    <row r="1305" spans="1:33">
      <c r="A1305" s="3"/>
      <c r="B1305" s="5"/>
      <c r="C1305" s="11"/>
      <c r="F1305" s="27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8"/>
      <c r="AG1305" s="11"/>
    </row>
    <row r="1306" spans="1:33">
      <c r="A1306" s="20"/>
      <c r="B1306" s="11"/>
      <c r="C1306" s="11"/>
      <c r="D1306" s="24"/>
      <c r="E1306" s="27"/>
      <c r="F1306" s="6"/>
      <c r="G1306" s="19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8"/>
      <c r="AG1306" s="11"/>
    </row>
    <row r="1307" spans="1:33">
      <c r="A1307" s="20"/>
      <c r="B1307" s="16"/>
      <c r="C1307" s="11"/>
      <c r="D1307" s="11"/>
      <c r="E1307" s="21"/>
      <c r="F1307" s="21"/>
      <c r="G1307" s="82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  <c r="V1307" s="24"/>
      <c r="W1307" s="24"/>
      <c r="X1307" s="24"/>
      <c r="Y1307" s="24"/>
      <c r="Z1307" s="24"/>
      <c r="AA1307" s="24"/>
      <c r="AB1307" s="24"/>
      <c r="AC1307" s="24"/>
      <c r="AD1307" s="24"/>
      <c r="AE1307" s="24"/>
      <c r="AF1307" s="28"/>
      <c r="AG1307" s="11"/>
    </row>
    <row r="1308" spans="1:33">
      <c r="A1308" s="20"/>
      <c r="B1308" s="16"/>
      <c r="C1308" s="11"/>
      <c r="D1308" s="11"/>
      <c r="E1308" s="21"/>
      <c r="F1308" s="21"/>
      <c r="G1308" s="82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  <c r="AE1308" s="24"/>
      <c r="AF1308" s="28"/>
      <c r="AG1308" s="11"/>
    </row>
    <row r="1309" spans="1:33">
      <c r="A1309" s="3"/>
      <c r="B1309" s="16"/>
      <c r="C1309" s="11"/>
      <c r="D1309" s="11"/>
      <c r="E1309" s="21"/>
      <c r="F1309" s="21"/>
      <c r="G1309" s="82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  <c r="V1309" s="24"/>
      <c r="W1309" s="24"/>
      <c r="X1309" s="24"/>
      <c r="Y1309" s="24"/>
      <c r="Z1309" s="24"/>
      <c r="AA1309" s="24"/>
      <c r="AB1309" s="24"/>
      <c r="AC1309" s="24"/>
      <c r="AD1309" s="24"/>
      <c r="AE1309" s="24"/>
      <c r="AF1309" s="28"/>
      <c r="AG1309" s="11"/>
    </row>
    <row r="1310" spans="1:33">
      <c r="G1310" s="2"/>
      <c r="H1310" s="83"/>
      <c r="I1310" s="83"/>
      <c r="J1310" s="83"/>
      <c r="K1310" s="83"/>
      <c r="L1310" s="83"/>
      <c r="M1310" s="83"/>
      <c r="N1310" s="83"/>
      <c r="O1310" s="83"/>
      <c r="P1310" s="83"/>
      <c r="Q1310" s="83"/>
      <c r="R1310" s="83"/>
      <c r="S1310" s="83"/>
      <c r="T1310" s="83"/>
      <c r="U1310" s="83"/>
      <c r="V1310" s="83"/>
      <c r="W1310" s="83"/>
      <c r="X1310" s="83"/>
      <c r="Y1310" s="83"/>
      <c r="Z1310" s="83"/>
      <c r="AA1310" s="83"/>
      <c r="AB1310" s="83"/>
      <c r="AC1310" s="83"/>
      <c r="AD1310" s="83"/>
      <c r="AE1310" s="83"/>
      <c r="AF1310" s="2"/>
    </row>
    <row r="1311" spans="1:33">
      <c r="G1311" s="9"/>
      <c r="H1311" s="84"/>
      <c r="I1311" s="84"/>
      <c r="J1311" s="84"/>
      <c r="K1311" s="84"/>
      <c r="L1311" s="84"/>
      <c r="M1311" s="84"/>
      <c r="N1311" s="84"/>
      <c r="O1311" s="84"/>
      <c r="P1311" s="84"/>
      <c r="Q1311" s="84"/>
      <c r="R1311" s="84"/>
      <c r="S1311" s="84"/>
      <c r="T1311" s="84"/>
      <c r="U1311" s="84"/>
      <c r="V1311" s="84"/>
      <c r="W1311" s="84"/>
      <c r="X1311" s="84"/>
      <c r="Y1311" s="84"/>
      <c r="Z1311" s="84"/>
      <c r="AA1311" s="84"/>
      <c r="AB1311" s="84"/>
      <c r="AC1311" s="84"/>
      <c r="AD1311" s="84"/>
      <c r="AE1311" s="84"/>
      <c r="AF1311" s="2"/>
    </row>
    <row r="1312" spans="1:33">
      <c r="A1312" s="3"/>
      <c r="G1312" s="19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  <c r="V1312" s="24"/>
      <c r="W1312" s="24"/>
      <c r="X1312" s="24"/>
      <c r="Y1312" s="24"/>
      <c r="Z1312" s="24"/>
      <c r="AA1312" s="24"/>
      <c r="AB1312" s="24"/>
      <c r="AC1312" s="24"/>
      <c r="AD1312" s="24"/>
      <c r="AE1312" s="24"/>
      <c r="AF1312" s="28"/>
      <c r="AG1312" s="11"/>
    </row>
    <row r="1313" spans="1:33">
      <c r="B1313" s="5"/>
      <c r="J1313" s="2"/>
      <c r="K1313" s="2"/>
      <c r="L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</row>
    <row r="1314" spans="1:33">
      <c r="A1314" s="20"/>
      <c r="B1314" s="11"/>
      <c r="C1314" s="11"/>
      <c r="E1314" s="14"/>
      <c r="F1314" s="31"/>
      <c r="G1314" s="19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8"/>
      <c r="AG1314" s="11"/>
    </row>
    <row r="1315" spans="1:33">
      <c r="A1315" s="3"/>
      <c r="B1315" s="5"/>
      <c r="C1315" s="11"/>
      <c r="F1315" s="27"/>
      <c r="G1315" s="2"/>
      <c r="H1315" s="2"/>
      <c r="I1315" s="2"/>
      <c r="J1315" s="2"/>
      <c r="K1315" s="2"/>
      <c r="M1315" s="2"/>
      <c r="N1315" s="28"/>
      <c r="O1315" s="28"/>
      <c r="P1315" s="28"/>
      <c r="Q1315" s="28"/>
      <c r="R1315" s="28"/>
      <c r="S1315" s="28"/>
      <c r="T1315" s="28"/>
      <c r="U1315" s="28"/>
      <c r="V1315" s="28"/>
      <c r="W1315" s="28"/>
      <c r="X1315" s="28"/>
      <c r="Y1315" s="28"/>
      <c r="Z1315" s="28"/>
      <c r="AA1315" s="28"/>
      <c r="AB1315" s="28"/>
      <c r="AC1315" s="28"/>
      <c r="AD1315" s="28"/>
      <c r="AE1315" s="28"/>
      <c r="AF1315" s="28"/>
      <c r="AG1315" s="11"/>
    </row>
    <row r="1316" spans="1:33">
      <c r="A1316" s="11"/>
      <c r="C1316" s="11"/>
      <c r="E1316" s="12"/>
      <c r="F1316" s="18"/>
      <c r="G1316" s="2"/>
      <c r="H1316" s="2"/>
      <c r="J1316" s="11"/>
      <c r="AF1316" s="2"/>
    </row>
    <row r="1317" spans="1:33">
      <c r="A1317" s="11"/>
      <c r="C1317" s="11"/>
      <c r="E1317" s="12"/>
      <c r="F1317" s="18"/>
      <c r="G1317" s="19"/>
      <c r="H1317" s="2"/>
      <c r="I1317" s="12"/>
      <c r="K1317" s="11"/>
      <c r="AF1317" s="2"/>
    </row>
    <row r="1318" spans="1:33">
      <c r="A1318" s="11"/>
      <c r="B1318" s="2"/>
      <c r="C1318" s="11"/>
      <c r="E1318" s="12"/>
      <c r="F1318" s="18"/>
      <c r="G1318" s="19"/>
      <c r="H1318" s="2"/>
      <c r="I1318" s="12"/>
      <c r="K1318" s="11"/>
      <c r="AF1318" s="2"/>
    </row>
    <row r="1319" spans="1:33">
      <c r="A1319" s="20"/>
      <c r="G1319" s="19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4"/>
      <c r="AE1319" s="24"/>
      <c r="AF1319" s="2"/>
    </row>
    <row r="1320" spans="1:33">
      <c r="A1320" s="22"/>
      <c r="B1320" s="5"/>
      <c r="C1320" s="11"/>
      <c r="E1320" s="27"/>
      <c r="F1320" s="6"/>
      <c r="G1320" s="28"/>
      <c r="I1320" s="29"/>
      <c r="J1320" s="11"/>
      <c r="K1320" s="2"/>
      <c r="L1320" s="11"/>
      <c r="M1320" s="28"/>
      <c r="AF1320" s="2"/>
    </row>
    <row r="1321" spans="1:33">
      <c r="A1321" s="20"/>
      <c r="B1321" s="11"/>
      <c r="C1321" s="11"/>
      <c r="D1321" s="24"/>
      <c r="E1321" s="27"/>
      <c r="F1321" s="6"/>
      <c r="G1321" s="19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8"/>
      <c r="AG1321" s="11"/>
    </row>
    <row r="1322" spans="1:33">
      <c r="A1322" s="14"/>
      <c r="B1322" s="5"/>
      <c r="E1322" s="12"/>
      <c r="F1322" s="6"/>
      <c r="G1322" s="2"/>
      <c r="H1322" s="2"/>
      <c r="J1322" s="10"/>
      <c r="K1322" s="9"/>
      <c r="AF1322" s="2"/>
    </row>
    <row r="1323" spans="1:33">
      <c r="A1323" s="20"/>
      <c r="B1323" s="16"/>
      <c r="C1323" s="11"/>
      <c r="D1323" s="11"/>
      <c r="E1323" s="21"/>
      <c r="F1323" s="21"/>
      <c r="G1323" s="82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  <c r="AE1323" s="24"/>
      <c r="AF1323" s="28"/>
      <c r="AG1323" s="11"/>
    </row>
    <row r="1324" spans="1:33">
      <c r="A1324" s="20"/>
      <c r="B1324" s="16"/>
      <c r="C1324" s="11"/>
      <c r="D1324" s="11"/>
      <c r="E1324" s="21"/>
      <c r="F1324" s="21"/>
      <c r="G1324" s="82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  <c r="AE1324" s="24"/>
      <c r="AF1324" s="28"/>
      <c r="AG1324" s="11"/>
    </row>
    <row r="1325" spans="1:33">
      <c r="B1325" s="16"/>
      <c r="C1325" s="16"/>
      <c r="D1325" s="11"/>
      <c r="E1325" s="21"/>
      <c r="F1325" s="21"/>
      <c r="G1325" s="82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  <c r="AE1325" s="24"/>
      <c r="AF1325" s="28"/>
      <c r="AG1325" s="11"/>
    </row>
    <row r="1326" spans="1:33">
      <c r="A1326" s="3"/>
      <c r="B1326" s="16"/>
      <c r="C1326" s="11"/>
      <c r="D1326" s="11"/>
      <c r="E1326" s="21"/>
      <c r="F1326" s="21"/>
      <c r="G1326" s="82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  <c r="V1326" s="24"/>
      <c r="W1326" s="24"/>
      <c r="X1326" s="24"/>
      <c r="Y1326" s="24"/>
      <c r="Z1326" s="24"/>
      <c r="AA1326" s="24"/>
      <c r="AB1326" s="24"/>
      <c r="AC1326" s="24"/>
      <c r="AD1326" s="24"/>
      <c r="AE1326" s="24"/>
      <c r="AF1326" s="28"/>
      <c r="AG1326" s="11"/>
    </row>
    <row r="1327" spans="1:33"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</row>
    <row r="1328" spans="1:33">
      <c r="G1328" s="9"/>
      <c r="H1328" s="84"/>
      <c r="I1328" s="84"/>
      <c r="J1328" s="84"/>
      <c r="K1328" s="84"/>
      <c r="L1328" s="84"/>
      <c r="M1328" s="84"/>
      <c r="N1328" s="84"/>
      <c r="O1328" s="84"/>
      <c r="P1328" s="84"/>
      <c r="Q1328" s="84"/>
      <c r="R1328" s="84"/>
      <c r="S1328" s="84"/>
      <c r="T1328" s="84"/>
      <c r="U1328" s="84"/>
      <c r="V1328" s="84"/>
      <c r="W1328" s="84"/>
      <c r="X1328" s="84"/>
      <c r="Y1328" s="84"/>
      <c r="Z1328" s="84"/>
      <c r="AA1328" s="84"/>
      <c r="AB1328" s="84"/>
      <c r="AC1328" s="84"/>
      <c r="AD1328" s="84"/>
      <c r="AE1328" s="84"/>
      <c r="AF1328" s="2"/>
    </row>
    <row r="1329" spans="1:33">
      <c r="A1329" s="3"/>
      <c r="G1329" s="19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  <c r="V1329" s="24"/>
      <c r="W1329" s="24"/>
      <c r="X1329" s="24"/>
      <c r="Y1329" s="24"/>
      <c r="Z1329" s="24"/>
      <c r="AA1329" s="24"/>
      <c r="AB1329" s="24"/>
      <c r="AC1329" s="24"/>
      <c r="AD1329" s="24"/>
      <c r="AE1329" s="24"/>
      <c r="AF1329" s="28"/>
      <c r="AG1329" s="11"/>
    </row>
    <row r="1330" spans="1:33">
      <c r="B1330" s="5"/>
      <c r="J1330" s="2"/>
      <c r="K1330" s="2"/>
      <c r="L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</row>
    <row r="1331" spans="1:33">
      <c r="A1331" s="20"/>
      <c r="B1331" s="11"/>
      <c r="C1331" s="11"/>
      <c r="E1331" s="14"/>
      <c r="F1331" s="31"/>
      <c r="G1331" s="19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8"/>
      <c r="AG1331" s="11"/>
    </row>
    <row r="1332" spans="1:33">
      <c r="A1332" s="3"/>
      <c r="B1332" s="5"/>
      <c r="C1332" s="11"/>
      <c r="F1332" s="27"/>
      <c r="G1332" s="2"/>
      <c r="H1332" s="2"/>
      <c r="I1332" s="2"/>
      <c r="J1332" s="2"/>
      <c r="K1332" s="2"/>
      <c r="M1332" s="2"/>
      <c r="N1332" s="28"/>
      <c r="O1332" s="28"/>
      <c r="P1332" s="28"/>
      <c r="Q1332" s="28"/>
      <c r="R1332" s="28"/>
      <c r="S1332" s="28"/>
      <c r="T1332" s="28"/>
      <c r="U1332" s="28"/>
      <c r="V1332" s="28"/>
      <c r="W1332" s="28"/>
      <c r="X1332" s="28"/>
      <c r="Y1332" s="28"/>
      <c r="Z1332" s="28"/>
      <c r="AA1332" s="28"/>
      <c r="AB1332" s="28"/>
      <c r="AC1332" s="28"/>
      <c r="AD1332" s="28"/>
      <c r="AE1332" s="28"/>
      <c r="AF1332" s="28"/>
      <c r="AG1332" s="11"/>
    </row>
    <row r="1333" spans="1:33">
      <c r="A1333" s="11"/>
      <c r="C1333" s="11"/>
      <c r="E1333" s="12"/>
      <c r="F1333" s="18"/>
      <c r="G1333" s="2"/>
      <c r="H1333" s="2"/>
      <c r="J1333" s="11"/>
      <c r="AF1333" s="2"/>
    </row>
    <row r="1334" spans="1:33">
      <c r="A1334" s="11"/>
      <c r="C1334" s="11"/>
      <c r="E1334" s="12"/>
      <c r="F1334" s="18"/>
      <c r="G1334" s="19"/>
      <c r="H1334" s="2"/>
      <c r="I1334" s="12"/>
      <c r="K1334" s="11"/>
      <c r="AF1334" s="2"/>
    </row>
    <row r="1335" spans="1:33">
      <c r="A1335" s="11"/>
      <c r="B1335" s="2"/>
      <c r="C1335" s="11"/>
      <c r="E1335" s="12"/>
      <c r="F1335" s="18"/>
      <c r="G1335" s="19"/>
      <c r="H1335" s="2"/>
      <c r="I1335" s="12"/>
      <c r="K1335" s="11"/>
      <c r="AF1335" s="2"/>
    </row>
    <row r="1336" spans="1:33">
      <c r="A1336" s="20"/>
      <c r="G1336" s="19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  <c r="V1336" s="24"/>
      <c r="W1336" s="24"/>
      <c r="X1336" s="24"/>
      <c r="Y1336" s="24"/>
      <c r="Z1336" s="24"/>
      <c r="AA1336" s="24"/>
      <c r="AB1336" s="24"/>
      <c r="AC1336" s="24"/>
      <c r="AD1336" s="24"/>
      <c r="AE1336" s="24"/>
      <c r="AF1336" s="2"/>
    </row>
    <row r="1337" spans="1:33">
      <c r="A1337" s="22"/>
      <c r="B1337" s="5"/>
      <c r="C1337" s="11"/>
      <c r="E1337" s="27"/>
      <c r="F1337" s="6"/>
      <c r="G1337" s="28"/>
      <c r="I1337" s="29"/>
      <c r="J1337" s="11"/>
      <c r="K1337" s="2"/>
      <c r="L1337" s="11"/>
      <c r="M1337" s="28"/>
      <c r="AF1337" s="2"/>
    </row>
    <row r="1338" spans="1:33">
      <c r="A1338" s="20"/>
      <c r="B1338" s="11"/>
      <c r="C1338" s="11"/>
      <c r="D1338" s="24"/>
      <c r="E1338" s="27"/>
      <c r="F1338" s="6"/>
      <c r="G1338" s="19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8"/>
      <c r="AG1338" s="11"/>
    </row>
    <row r="1339" spans="1:33">
      <c r="A1339" s="14"/>
      <c r="B1339" s="5"/>
      <c r="E1339" s="12"/>
      <c r="F1339" s="6"/>
      <c r="G1339" s="2"/>
      <c r="H1339" s="2"/>
      <c r="J1339" s="10"/>
      <c r="K1339" s="9"/>
      <c r="AF1339" s="2"/>
    </row>
    <row r="1340" spans="1:33">
      <c r="A1340" s="20"/>
      <c r="B1340" s="16"/>
      <c r="C1340" s="11"/>
      <c r="D1340" s="11"/>
      <c r="E1340" s="21"/>
      <c r="F1340" s="21"/>
      <c r="G1340" s="82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  <c r="AE1340" s="24"/>
      <c r="AF1340" s="28"/>
      <c r="AG1340" s="11"/>
    </row>
    <row r="1341" spans="1:33">
      <c r="A1341" s="20"/>
      <c r="B1341" s="16"/>
      <c r="C1341" s="11"/>
      <c r="D1341" s="11"/>
      <c r="E1341" s="21"/>
      <c r="F1341" s="21"/>
      <c r="G1341" s="82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  <c r="V1341" s="24"/>
      <c r="W1341" s="24"/>
      <c r="X1341" s="24"/>
      <c r="Y1341" s="24"/>
      <c r="Z1341" s="24"/>
      <c r="AA1341" s="24"/>
      <c r="AB1341" s="24"/>
      <c r="AC1341" s="24"/>
      <c r="AD1341" s="24"/>
      <c r="AE1341" s="24"/>
      <c r="AF1341" s="28"/>
      <c r="AG1341" s="11"/>
    </row>
    <row r="1344" spans="1:33" ht="18.75">
      <c r="A1344" s="85"/>
      <c r="B1344" s="30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2"/>
    </row>
    <row r="1345" spans="1:33">
      <c r="A1345" s="3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2"/>
    </row>
    <row r="1346" spans="1:33">
      <c r="B1346" s="11"/>
      <c r="C1346" s="11"/>
      <c r="D1346" s="5"/>
      <c r="E1346" s="12"/>
      <c r="F1346" s="6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</row>
    <row r="1347" spans="1:33">
      <c r="A1347" s="20"/>
      <c r="B1347" s="11"/>
      <c r="C1347" s="11"/>
      <c r="E1347" s="12"/>
      <c r="F1347" s="18"/>
      <c r="G1347" s="19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</row>
    <row r="1348" spans="1:33">
      <c r="A1348" s="20"/>
      <c r="B1348" s="5"/>
      <c r="C1348" s="11"/>
      <c r="E1348" s="12"/>
      <c r="F1348" s="18"/>
      <c r="G1348" s="19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</row>
    <row r="1349" spans="1:33">
      <c r="A1349" s="20"/>
      <c r="G1349" s="19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</row>
    <row r="1350" spans="1:33">
      <c r="A1350" s="20"/>
      <c r="B1350" s="16"/>
      <c r="G1350" s="32"/>
      <c r="H1350" s="33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</row>
    <row r="1351" spans="1:33">
      <c r="A1351" s="22"/>
      <c r="B1351" s="16"/>
      <c r="G1351" s="32"/>
      <c r="H1351" s="33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</row>
    <row r="1352" spans="1:33">
      <c r="A1352" s="3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</row>
    <row r="1353" spans="1:33">
      <c r="A1353" s="3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</row>
    <row r="1354" spans="1:33">
      <c r="A1354" s="3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</row>
    <row r="1355" spans="1:33">
      <c r="A1355" s="3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</row>
    <row r="1356" spans="1:33">
      <c r="A1356" s="3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</row>
    <row r="1357" spans="1:33">
      <c r="G1357" s="2"/>
      <c r="H1357" s="83"/>
      <c r="I1357" s="83"/>
      <c r="J1357" s="83"/>
      <c r="K1357" s="83"/>
      <c r="L1357" s="83"/>
      <c r="M1357" s="83"/>
      <c r="N1357" s="83"/>
      <c r="O1357" s="83"/>
      <c r="P1357" s="83"/>
      <c r="Q1357" s="83"/>
      <c r="R1357" s="83"/>
      <c r="S1357" s="83"/>
      <c r="T1357" s="83"/>
      <c r="U1357" s="83"/>
      <c r="V1357" s="83"/>
      <c r="W1357" s="83"/>
      <c r="X1357" s="83"/>
      <c r="Y1357" s="83"/>
      <c r="Z1357" s="83"/>
      <c r="AA1357" s="83"/>
      <c r="AB1357" s="83"/>
      <c r="AC1357" s="83"/>
      <c r="AD1357" s="83"/>
      <c r="AE1357" s="83"/>
      <c r="AF1357" s="2"/>
    </row>
    <row r="1358" spans="1:33">
      <c r="G1358" s="9"/>
      <c r="H1358" s="84"/>
      <c r="I1358" s="84"/>
      <c r="J1358" s="84"/>
      <c r="K1358" s="84"/>
      <c r="L1358" s="84"/>
      <c r="M1358" s="84"/>
      <c r="N1358" s="84"/>
      <c r="O1358" s="84"/>
      <c r="P1358" s="84"/>
      <c r="Q1358" s="84"/>
      <c r="R1358" s="84"/>
      <c r="S1358" s="84"/>
      <c r="T1358" s="84"/>
      <c r="U1358" s="84"/>
      <c r="V1358" s="84"/>
      <c r="W1358" s="84"/>
      <c r="X1358" s="84"/>
      <c r="Y1358" s="84"/>
      <c r="Z1358" s="84"/>
      <c r="AA1358" s="84"/>
      <c r="AB1358" s="84"/>
      <c r="AC1358" s="84"/>
      <c r="AD1358" s="84"/>
      <c r="AE1358" s="84"/>
      <c r="AF1358" s="2"/>
    </row>
    <row r="1359" spans="1:33" ht="15" customHeight="1">
      <c r="A1359" s="3"/>
      <c r="B1359" s="11"/>
      <c r="C1359" s="11"/>
      <c r="D1359" s="11"/>
      <c r="E1359" s="27"/>
      <c r="F1359" s="6"/>
      <c r="G1359" s="19"/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  <c r="V1359" s="24"/>
      <c r="W1359" s="24"/>
      <c r="X1359" s="24"/>
      <c r="Y1359" s="24"/>
      <c r="Z1359" s="24"/>
      <c r="AA1359" s="24"/>
      <c r="AB1359" s="24"/>
      <c r="AC1359" s="24"/>
      <c r="AD1359" s="24"/>
      <c r="AE1359" s="24"/>
      <c r="AF1359" s="28"/>
      <c r="AG1359" s="11"/>
    </row>
    <row r="1360" spans="1:33">
      <c r="A1360" s="3"/>
      <c r="B1360" s="5"/>
      <c r="C1360" s="11"/>
      <c r="F1360" s="27"/>
      <c r="I1360" s="2"/>
      <c r="K1360" s="2"/>
      <c r="M1360" s="2"/>
      <c r="N1360" s="28"/>
      <c r="O1360" s="28"/>
      <c r="P1360" s="28"/>
      <c r="Q1360" s="28"/>
      <c r="R1360" s="28"/>
      <c r="S1360" s="28"/>
      <c r="T1360" s="28"/>
      <c r="U1360" s="28"/>
      <c r="V1360" s="28"/>
      <c r="W1360" s="28"/>
      <c r="X1360" s="28"/>
      <c r="Y1360" s="28"/>
      <c r="Z1360" s="28"/>
      <c r="AA1360" s="28"/>
      <c r="AB1360" s="28"/>
      <c r="AC1360" s="28"/>
      <c r="AD1360" s="28"/>
      <c r="AE1360" s="28"/>
      <c r="AF1360" s="28"/>
      <c r="AG1360" s="11"/>
    </row>
    <row r="1361" spans="1:33">
      <c r="A1361" s="3"/>
      <c r="C1361" s="11"/>
      <c r="D1361" s="2"/>
      <c r="F1361" s="27"/>
      <c r="G1361" s="2"/>
      <c r="I1361" s="2"/>
      <c r="K1361" s="2"/>
      <c r="M1361" s="2"/>
      <c r="N1361" s="28"/>
      <c r="O1361" s="28"/>
      <c r="P1361" s="28"/>
      <c r="Q1361" s="28"/>
      <c r="R1361" s="28"/>
      <c r="S1361" s="28"/>
      <c r="T1361" s="28"/>
      <c r="U1361" s="28"/>
      <c r="V1361" s="28"/>
      <c r="W1361" s="28"/>
      <c r="X1361" s="28"/>
      <c r="Y1361" s="28"/>
      <c r="Z1361" s="28"/>
      <c r="AA1361" s="28"/>
      <c r="AB1361" s="28"/>
      <c r="AC1361" s="28"/>
      <c r="AD1361" s="28"/>
      <c r="AE1361" s="28"/>
      <c r="AF1361" s="28"/>
      <c r="AG1361" s="11"/>
    </row>
    <row r="1362" spans="1:33">
      <c r="A1362" s="20"/>
      <c r="B1362" s="11"/>
      <c r="C1362" s="11"/>
      <c r="D1362" s="11"/>
      <c r="E1362" s="27"/>
      <c r="F1362" s="6"/>
      <c r="G1362" s="19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  <c r="V1362" s="24"/>
      <c r="W1362" s="24"/>
      <c r="X1362" s="24"/>
      <c r="Y1362" s="24"/>
      <c r="Z1362" s="24"/>
      <c r="AA1362" s="24"/>
      <c r="AB1362" s="24"/>
      <c r="AC1362" s="24"/>
      <c r="AD1362" s="24"/>
      <c r="AE1362" s="24"/>
      <c r="AF1362" s="28"/>
      <c r="AG1362" s="11"/>
    </row>
    <row r="1363" spans="1:33">
      <c r="A1363" s="20"/>
      <c r="B1363" s="5"/>
      <c r="C1363" s="11"/>
      <c r="G1363" s="27"/>
      <c r="H1363" s="2"/>
      <c r="M1363" s="28"/>
      <c r="O1363" s="28"/>
      <c r="P1363" s="28"/>
      <c r="Q1363" s="11"/>
      <c r="R1363" s="28"/>
      <c r="S1363" s="28"/>
      <c r="T1363" s="28"/>
      <c r="U1363" s="28"/>
      <c r="V1363" s="28"/>
      <c r="W1363" s="28"/>
      <c r="X1363" s="28"/>
      <c r="Y1363" s="28"/>
      <c r="Z1363" s="28"/>
      <c r="AA1363" s="28"/>
      <c r="AB1363" s="28"/>
      <c r="AC1363" s="28"/>
      <c r="AD1363" s="28"/>
      <c r="AE1363" s="28"/>
      <c r="AF1363" s="28"/>
      <c r="AG1363" s="11"/>
    </row>
    <row r="1364" spans="1:33">
      <c r="A1364" s="20"/>
      <c r="B1364" s="11"/>
      <c r="C1364" s="11"/>
      <c r="D1364" s="11"/>
      <c r="E1364" s="27"/>
      <c r="F1364" s="6"/>
      <c r="G1364" s="19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  <c r="AA1364" s="24"/>
      <c r="AB1364" s="24"/>
      <c r="AC1364" s="24"/>
      <c r="AD1364" s="24"/>
      <c r="AE1364" s="24"/>
      <c r="AF1364" s="28"/>
      <c r="AG1364" s="11"/>
    </row>
    <row r="1365" spans="1:33">
      <c r="A1365" s="20"/>
      <c r="B1365" s="5"/>
      <c r="C1365" s="11"/>
      <c r="E1365" s="27"/>
      <c r="F1365" s="6"/>
      <c r="G1365" s="28"/>
      <c r="I1365" s="29"/>
      <c r="J1365" s="11"/>
      <c r="K1365" s="2"/>
      <c r="L1365" s="11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W1365" s="28"/>
      <c r="X1365" s="28"/>
      <c r="Y1365" s="28"/>
      <c r="Z1365" s="28"/>
      <c r="AA1365" s="28"/>
      <c r="AB1365" s="28"/>
      <c r="AC1365" s="28"/>
      <c r="AD1365" s="28"/>
      <c r="AE1365" s="28"/>
      <c r="AF1365" s="28"/>
      <c r="AG1365" s="11"/>
    </row>
    <row r="1366" spans="1:33">
      <c r="A1366" s="20"/>
      <c r="B1366" s="11"/>
      <c r="C1366" s="11"/>
      <c r="D1366" s="11"/>
      <c r="E1366" s="27"/>
      <c r="F1366" s="6"/>
      <c r="G1366" s="19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  <c r="V1366" s="24"/>
      <c r="W1366" s="24"/>
      <c r="X1366" s="24"/>
      <c r="Y1366" s="24"/>
      <c r="Z1366" s="24"/>
      <c r="AA1366" s="24"/>
      <c r="AB1366" s="24"/>
      <c r="AC1366" s="24"/>
      <c r="AD1366" s="24"/>
      <c r="AE1366" s="24"/>
      <c r="AF1366" s="28"/>
      <c r="AG1366" s="11"/>
    </row>
    <row r="1367" spans="1:33">
      <c r="A1367" s="20"/>
      <c r="B1367" s="5"/>
      <c r="C1367" s="11"/>
      <c r="E1367" s="2"/>
      <c r="G1367" s="2"/>
      <c r="I1367" s="11"/>
      <c r="J1367" s="28"/>
      <c r="K1367" s="2"/>
      <c r="L1367" s="12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W1367" s="28"/>
      <c r="X1367" s="28"/>
      <c r="Y1367" s="28"/>
      <c r="Z1367" s="28"/>
      <c r="AA1367" s="28"/>
      <c r="AB1367" s="28"/>
      <c r="AC1367" s="28"/>
      <c r="AD1367" s="28"/>
      <c r="AE1367" s="28"/>
      <c r="AF1367" s="28"/>
      <c r="AG1367" s="11"/>
    </row>
    <row r="1368" spans="1:33">
      <c r="B1368" s="12"/>
      <c r="E1368" s="12"/>
      <c r="F1368" s="6"/>
      <c r="G1368" s="32"/>
      <c r="H1368" s="33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</row>
    <row r="1369" spans="1:33">
      <c r="B1369" s="11"/>
      <c r="C1369" s="14"/>
      <c r="E1369" s="12"/>
      <c r="F1369" s="6"/>
      <c r="G1369" s="32"/>
      <c r="H1369" s="33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</row>
    <row r="1370" spans="1:33">
      <c r="A1370" s="20"/>
      <c r="B1370" s="16"/>
      <c r="C1370" s="11"/>
      <c r="D1370" s="11"/>
      <c r="E1370" s="27"/>
      <c r="F1370" s="6"/>
      <c r="G1370" s="32"/>
      <c r="H1370" s="33"/>
      <c r="I1370" s="29"/>
      <c r="J1370" s="28"/>
      <c r="K1370" s="11"/>
      <c r="L1370" s="11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W1370" s="28"/>
      <c r="X1370" s="28"/>
      <c r="Y1370" s="28"/>
      <c r="Z1370" s="28"/>
      <c r="AA1370" s="28"/>
      <c r="AB1370" s="28"/>
      <c r="AC1370" s="28"/>
      <c r="AD1370" s="28"/>
      <c r="AE1370" s="28"/>
      <c r="AF1370" s="28"/>
      <c r="AG1370" s="11"/>
    </row>
    <row r="1371" spans="1:33">
      <c r="A1371" s="20"/>
      <c r="B1371" s="16"/>
      <c r="G1371" s="32"/>
      <c r="H1371" s="33"/>
      <c r="I1371" s="86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</row>
    <row r="1372" spans="1:33">
      <c r="A1372" s="20"/>
      <c r="B1372" s="16"/>
      <c r="G1372" s="32"/>
      <c r="H1372" s="33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</row>
    <row r="1373" spans="1:33">
      <c r="A1373" s="3"/>
      <c r="B1373" s="16"/>
      <c r="C1373" s="11"/>
      <c r="D1373" s="11"/>
      <c r="E1373" s="27"/>
      <c r="F1373" s="6"/>
      <c r="G1373" s="32"/>
      <c r="H1373" s="33"/>
      <c r="I1373" s="29"/>
      <c r="J1373" s="28"/>
      <c r="K1373" s="11"/>
      <c r="L1373" s="11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  <c r="W1373" s="28"/>
      <c r="X1373" s="28"/>
      <c r="Y1373" s="28"/>
      <c r="Z1373" s="28"/>
      <c r="AA1373" s="28"/>
      <c r="AB1373" s="28"/>
      <c r="AC1373" s="28"/>
      <c r="AD1373" s="28"/>
      <c r="AE1373" s="28"/>
      <c r="AF1373" s="28"/>
      <c r="AG1373" s="11"/>
    </row>
    <row r="1374" spans="1:33"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</row>
    <row r="1375" spans="1:33">
      <c r="G1375" s="9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2"/>
    </row>
    <row r="1376" spans="1:33" ht="15" customHeight="1">
      <c r="A1376" s="3"/>
      <c r="B1376" s="11"/>
      <c r="C1376" s="11"/>
      <c r="D1376" s="11"/>
      <c r="E1376" s="27"/>
      <c r="F1376" s="6"/>
      <c r="G1376" s="19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  <c r="V1376" s="24"/>
      <c r="W1376" s="24"/>
      <c r="X1376" s="24"/>
      <c r="Y1376" s="24"/>
      <c r="Z1376" s="24"/>
      <c r="AA1376" s="24"/>
      <c r="AB1376" s="24"/>
      <c r="AC1376" s="24"/>
      <c r="AD1376" s="24"/>
      <c r="AE1376" s="24"/>
      <c r="AF1376" s="28"/>
      <c r="AG1376" s="11"/>
    </row>
    <row r="1377" spans="1:33">
      <c r="A1377" s="3"/>
      <c r="B1377" s="5"/>
      <c r="C1377" s="11"/>
      <c r="F1377" s="27"/>
      <c r="I1377" s="2"/>
      <c r="K1377" s="2"/>
      <c r="M1377" s="2"/>
      <c r="N1377" s="28"/>
      <c r="O1377" s="28"/>
      <c r="P1377" s="28"/>
      <c r="Q1377" s="28"/>
      <c r="R1377" s="28"/>
      <c r="S1377" s="28"/>
      <c r="T1377" s="28"/>
      <c r="U1377" s="28"/>
      <c r="V1377" s="28"/>
      <c r="W1377" s="28"/>
      <c r="X1377" s="28"/>
      <c r="Y1377" s="28"/>
      <c r="Z1377" s="28"/>
      <c r="AA1377" s="28"/>
      <c r="AB1377" s="28"/>
      <c r="AC1377" s="28"/>
      <c r="AD1377" s="28"/>
      <c r="AE1377" s="28"/>
      <c r="AF1377" s="28"/>
      <c r="AG1377" s="11"/>
    </row>
    <row r="1378" spans="1:33">
      <c r="A1378" s="3"/>
      <c r="C1378" s="11"/>
      <c r="D1378" s="2"/>
      <c r="F1378" s="27"/>
      <c r="G1378" s="2"/>
      <c r="I1378" s="2"/>
      <c r="K1378" s="2"/>
      <c r="M1378" s="2"/>
      <c r="N1378" s="28"/>
      <c r="O1378" s="28"/>
      <c r="P1378" s="28"/>
      <c r="Q1378" s="28"/>
      <c r="R1378" s="28"/>
      <c r="S1378" s="28"/>
      <c r="T1378" s="28"/>
      <c r="U1378" s="28"/>
      <c r="V1378" s="28"/>
      <c r="W1378" s="28"/>
      <c r="X1378" s="28"/>
      <c r="Y1378" s="28"/>
      <c r="Z1378" s="28"/>
      <c r="AA1378" s="28"/>
      <c r="AB1378" s="28"/>
      <c r="AC1378" s="28"/>
      <c r="AD1378" s="28"/>
      <c r="AE1378" s="28"/>
      <c r="AF1378" s="28"/>
      <c r="AG1378" s="11"/>
    </row>
    <row r="1379" spans="1:33">
      <c r="A1379" s="20"/>
      <c r="B1379" s="11"/>
      <c r="C1379" s="11"/>
      <c r="D1379" s="11"/>
      <c r="E1379" s="27"/>
      <c r="F1379" s="6"/>
      <c r="G1379" s="19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  <c r="V1379" s="24"/>
      <c r="W1379" s="24"/>
      <c r="X1379" s="24"/>
      <c r="Y1379" s="24"/>
      <c r="Z1379" s="24"/>
      <c r="AA1379" s="24"/>
      <c r="AB1379" s="24"/>
      <c r="AC1379" s="24"/>
      <c r="AD1379" s="24"/>
      <c r="AE1379" s="24"/>
      <c r="AF1379" s="28"/>
      <c r="AG1379" s="11"/>
    </row>
    <row r="1380" spans="1:33">
      <c r="A1380" s="20"/>
      <c r="B1380" s="5"/>
      <c r="C1380" s="11"/>
      <c r="F1380" s="27"/>
      <c r="G1380" s="6"/>
      <c r="H1380" s="2"/>
      <c r="M1380" s="28"/>
      <c r="O1380" s="28"/>
      <c r="P1380" s="28"/>
      <c r="Q1380" s="11"/>
      <c r="R1380" s="28"/>
      <c r="S1380" s="28"/>
      <c r="T1380" s="28"/>
      <c r="U1380" s="28"/>
      <c r="V1380" s="28"/>
      <c r="W1380" s="28"/>
      <c r="X1380" s="28"/>
      <c r="Y1380" s="28"/>
      <c r="Z1380" s="28"/>
      <c r="AA1380" s="28"/>
      <c r="AB1380" s="28"/>
      <c r="AC1380" s="28"/>
      <c r="AD1380" s="28"/>
      <c r="AE1380" s="28"/>
      <c r="AF1380" s="28"/>
      <c r="AG1380" s="11"/>
    </row>
    <row r="1381" spans="1:33">
      <c r="A1381" s="20"/>
      <c r="B1381" s="11"/>
      <c r="C1381" s="11"/>
      <c r="D1381" s="11"/>
      <c r="E1381" s="27"/>
      <c r="F1381" s="6"/>
      <c r="G1381" s="19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  <c r="V1381" s="24"/>
      <c r="W1381" s="24"/>
      <c r="X1381" s="24"/>
      <c r="Y1381" s="24"/>
      <c r="Z1381" s="24"/>
      <c r="AA1381" s="24"/>
      <c r="AB1381" s="24"/>
      <c r="AC1381" s="24"/>
      <c r="AD1381" s="24"/>
      <c r="AE1381" s="24"/>
      <c r="AF1381" s="28"/>
      <c r="AG1381" s="11"/>
    </row>
    <row r="1382" spans="1:33">
      <c r="A1382" s="20"/>
      <c r="B1382" s="5"/>
      <c r="C1382" s="11"/>
      <c r="E1382" s="27"/>
      <c r="F1382" s="6"/>
      <c r="G1382" s="28"/>
      <c r="I1382" s="29"/>
      <c r="J1382" s="11"/>
      <c r="K1382" s="2"/>
      <c r="L1382" s="11"/>
      <c r="M1382" s="28"/>
      <c r="N1382" s="28"/>
      <c r="O1382" s="28"/>
      <c r="P1382" s="28"/>
      <c r="Q1382" s="28"/>
      <c r="R1382" s="28"/>
      <c r="S1382" s="28"/>
      <c r="T1382" s="28"/>
      <c r="U1382" s="28"/>
      <c r="V1382" s="28"/>
      <c r="W1382" s="28"/>
      <c r="X1382" s="28"/>
      <c r="Y1382" s="28"/>
      <c r="Z1382" s="28"/>
      <c r="AA1382" s="28"/>
      <c r="AB1382" s="28"/>
      <c r="AC1382" s="28"/>
      <c r="AD1382" s="28"/>
      <c r="AE1382" s="28"/>
      <c r="AF1382" s="28"/>
      <c r="AG1382" s="11"/>
    </row>
    <row r="1383" spans="1:33">
      <c r="A1383" s="20"/>
      <c r="B1383" s="11"/>
      <c r="C1383" s="11"/>
      <c r="D1383" s="11"/>
      <c r="E1383" s="27"/>
      <c r="F1383" s="6"/>
      <c r="G1383" s="19"/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  <c r="V1383" s="24"/>
      <c r="W1383" s="24"/>
      <c r="X1383" s="24"/>
      <c r="Y1383" s="24"/>
      <c r="Z1383" s="24"/>
      <c r="AA1383" s="24"/>
      <c r="AB1383" s="24"/>
      <c r="AC1383" s="24"/>
      <c r="AD1383" s="24"/>
      <c r="AE1383" s="24"/>
      <c r="AF1383" s="28"/>
      <c r="AG1383" s="11"/>
    </row>
    <row r="1384" spans="1:33">
      <c r="A1384" s="20"/>
      <c r="B1384" s="5"/>
      <c r="C1384" s="11"/>
      <c r="E1384" s="2"/>
      <c r="G1384" s="2"/>
      <c r="I1384" s="11"/>
      <c r="J1384" s="28"/>
      <c r="K1384" s="2"/>
      <c r="L1384" s="12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W1384" s="28"/>
      <c r="X1384" s="28"/>
      <c r="Y1384" s="28"/>
      <c r="Z1384" s="28"/>
      <c r="AA1384" s="28"/>
      <c r="AB1384" s="28"/>
      <c r="AC1384" s="28"/>
      <c r="AD1384" s="28"/>
      <c r="AE1384" s="28"/>
      <c r="AF1384" s="28"/>
      <c r="AG1384" s="11"/>
    </row>
    <row r="1385" spans="1:33">
      <c r="A1385" s="20"/>
      <c r="B1385" s="16"/>
      <c r="C1385" s="11"/>
      <c r="D1385" s="11"/>
      <c r="E1385" s="27"/>
      <c r="F1385" s="6"/>
      <c r="G1385" s="32"/>
      <c r="H1385" s="33"/>
      <c r="I1385" s="29"/>
      <c r="J1385" s="28"/>
      <c r="K1385" s="11"/>
      <c r="L1385" s="11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  <c r="W1385" s="28"/>
      <c r="X1385" s="28"/>
      <c r="Y1385" s="28"/>
      <c r="Z1385" s="28"/>
      <c r="AA1385" s="28"/>
      <c r="AB1385" s="28"/>
      <c r="AC1385" s="28"/>
      <c r="AD1385" s="28"/>
      <c r="AE1385" s="28"/>
      <c r="AF1385" s="28"/>
      <c r="AG1385" s="11"/>
    </row>
    <row r="1386" spans="1:33">
      <c r="A1386" s="20"/>
      <c r="B1386" s="16"/>
      <c r="G1386" s="32"/>
      <c r="H1386" s="33"/>
      <c r="I1386" s="86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</row>
    <row r="1387" spans="1:33">
      <c r="A1387" s="39"/>
      <c r="B1387" s="16"/>
      <c r="G1387" s="32"/>
      <c r="H1387" s="33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</row>
    <row r="1388" spans="1:33">
      <c r="A1388" s="3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</row>
    <row r="1389" spans="1:33">
      <c r="A1389" s="1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</row>
    <row r="1390" spans="1:33">
      <c r="A1390" s="3"/>
      <c r="B1390" s="1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</row>
    <row r="1391" spans="1:33">
      <c r="A1391" s="20"/>
      <c r="B1391" s="11"/>
      <c r="C1391" s="11"/>
      <c r="D1391" s="11"/>
      <c r="E1391" s="14"/>
      <c r="F1391" s="31"/>
      <c r="G1391" s="19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</row>
    <row r="1392" spans="1:33">
      <c r="A1392" s="5"/>
      <c r="B1392" s="5"/>
      <c r="C1392" s="11"/>
      <c r="E1392" s="12"/>
      <c r="F1392" s="18"/>
      <c r="G1392" s="19"/>
      <c r="H1392" s="2"/>
      <c r="I1392" s="2"/>
      <c r="J1392" s="2"/>
      <c r="K1392" s="26"/>
      <c r="L1392" s="2"/>
      <c r="M1392" s="2"/>
      <c r="N1392" s="2"/>
      <c r="O1392" s="26"/>
      <c r="P1392" s="2"/>
      <c r="Q1392" s="2"/>
      <c r="R1392" s="26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</row>
    <row r="1393" spans="1:32">
      <c r="A1393" s="20"/>
      <c r="G1393" s="19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</row>
    <row r="1394" spans="1:32">
      <c r="A1394" s="16"/>
      <c r="B1394" s="5"/>
      <c r="G1394" s="19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</row>
    <row r="1395" spans="1:32">
      <c r="A1395" s="16"/>
      <c r="B1395" s="12"/>
      <c r="G1395" s="19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</row>
    <row r="1396" spans="1:32">
      <c r="A1396" s="20"/>
      <c r="E1396" s="12"/>
      <c r="F1396" s="6"/>
      <c r="G1396" s="19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</row>
    <row r="1397" spans="1:32">
      <c r="A1397" s="20"/>
      <c r="C1397" s="5"/>
      <c r="E1397" s="12"/>
      <c r="F1397" s="6"/>
      <c r="G1397" s="19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</row>
    <row r="1398" spans="1:32">
      <c r="A1398" s="20"/>
      <c r="B1398" s="12"/>
      <c r="C1398" s="5"/>
      <c r="E1398" s="12"/>
      <c r="F1398" s="6"/>
      <c r="G1398" s="19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</row>
    <row r="1399" spans="1:32">
      <c r="A1399" s="20"/>
      <c r="E1399" s="12"/>
      <c r="F1399" s="6"/>
      <c r="G1399" s="19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</row>
    <row r="1400" spans="1:32">
      <c r="A1400" s="20"/>
      <c r="E1400" s="30"/>
      <c r="F1400" s="6"/>
      <c r="G1400" s="19"/>
      <c r="I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</row>
    <row r="1401" spans="1:32">
      <c r="A1401" s="20"/>
      <c r="B1401" s="16"/>
      <c r="E1401" s="30"/>
      <c r="F1401" s="6"/>
      <c r="G1401" s="32"/>
      <c r="H1401" s="33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</row>
    <row r="1402" spans="1:32">
      <c r="A1402" s="20"/>
      <c r="B1402" s="16"/>
      <c r="E1402" s="30"/>
      <c r="F1402" s="6"/>
      <c r="G1402" s="32"/>
      <c r="H1402" s="33"/>
      <c r="I1402" s="3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</row>
    <row r="1403" spans="1:32">
      <c r="A1403" s="3"/>
      <c r="E1403" s="12"/>
      <c r="F1403" s="6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</row>
    <row r="1404" spans="1:32">
      <c r="G1404" s="2"/>
      <c r="H1404" s="83"/>
      <c r="I1404" s="83"/>
      <c r="J1404" s="83"/>
      <c r="K1404" s="83"/>
      <c r="L1404" s="83"/>
      <c r="M1404" s="83"/>
      <c r="N1404" s="83"/>
      <c r="O1404" s="83"/>
      <c r="P1404" s="83"/>
      <c r="Q1404" s="83"/>
      <c r="R1404" s="83"/>
      <c r="S1404" s="83"/>
      <c r="T1404" s="83"/>
      <c r="U1404" s="83"/>
      <c r="V1404" s="83"/>
      <c r="W1404" s="83"/>
      <c r="X1404" s="83"/>
      <c r="Y1404" s="83"/>
      <c r="Z1404" s="83"/>
      <c r="AA1404" s="83"/>
      <c r="AB1404" s="83"/>
      <c r="AC1404" s="83"/>
      <c r="AD1404" s="83"/>
      <c r="AE1404" s="83"/>
      <c r="AF1404" s="2"/>
    </row>
    <row r="1405" spans="1:32">
      <c r="G1405" s="9"/>
      <c r="H1405" s="84"/>
      <c r="I1405" s="84"/>
      <c r="J1405" s="84"/>
      <c r="K1405" s="84"/>
      <c r="L1405" s="84"/>
      <c r="M1405" s="84"/>
      <c r="N1405" s="84"/>
      <c r="O1405" s="84"/>
      <c r="P1405" s="84"/>
      <c r="Q1405" s="84"/>
      <c r="R1405" s="84"/>
      <c r="S1405" s="84"/>
      <c r="T1405" s="84"/>
      <c r="U1405" s="84"/>
      <c r="V1405" s="84"/>
      <c r="W1405" s="84"/>
      <c r="X1405" s="84"/>
      <c r="Y1405" s="84"/>
      <c r="Z1405" s="84"/>
      <c r="AA1405" s="84"/>
      <c r="AB1405" s="84"/>
      <c r="AC1405" s="84"/>
      <c r="AD1405" s="84"/>
      <c r="AE1405" s="84"/>
      <c r="AF1405" s="2"/>
    </row>
    <row r="1406" spans="1:32">
      <c r="A1406" s="3"/>
      <c r="G1406" s="19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  <c r="AE1406" s="24"/>
      <c r="AF1406" s="2"/>
    </row>
    <row r="1407" spans="1:32">
      <c r="B1407" s="5"/>
      <c r="J1407" s="2"/>
      <c r="K1407" s="2"/>
      <c r="L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</row>
    <row r="1408" spans="1:32">
      <c r="A1408" s="20"/>
      <c r="G1408" s="19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</row>
    <row r="1409" spans="1:32">
      <c r="B1409" s="5"/>
      <c r="C1409" s="11"/>
      <c r="E1409" s="12"/>
      <c r="F1409" s="18"/>
      <c r="G1409" s="2"/>
      <c r="I1409" s="2"/>
      <c r="K1409" s="9"/>
      <c r="AF1409" s="2"/>
    </row>
    <row r="1410" spans="1:32">
      <c r="A1410" s="11"/>
      <c r="C1410" s="11"/>
      <c r="E1410" s="12"/>
      <c r="F1410" s="18"/>
      <c r="G1410" s="2"/>
      <c r="H1410" s="2"/>
      <c r="J1410" s="11"/>
      <c r="AF1410" s="2"/>
    </row>
    <row r="1411" spans="1:32">
      <c r="A1411" s="11"/>
      <c r="C1411" s="11"/>
      <c r="E1411" s="12"/>
      <c r="F1411" s="18"/>
      <c r="G1411" s="19"/>
      <c r="I1411" s="12"/>
      <c r="K1411" s="11"/>
      <c r="AF1411" s="2"/>
    </row>
    <row r="1412" spans="1:32">
      <c r="A1412" s="11"/>
      <c r="B1412" s="2"/>
      <c r="C1412" s="11"/>
      <c r="E1412" s="12"/>
      <c r="F1412" s="18"/>
      <c r="G1412" s="19"/>
      <c r="H1412" s="2"/>
      <c r="K1412" s="11"/>
      <c r="L1412" s="12"/>
      <c r="AF1412" s="2"/>
    </row>
    <row r="1413" spans="1:32">
      <c r="A1413" s="20"/>
      <c r="G1413" s="19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</row>
    <row r="1414" spans="1:32">
      <c r="A1414" s="14"/>
      <c r="B1414" s="5"/>
      <c r="G1414" s="2"/>
      <c r="H1414" s="2"/>
      <c r="I1414" s="2"/>
      <c r="J1414" s="10"/>
      <c r="K1414" s="9"/>
      <c r="AF1414" s="2"/>
    </row>
    <row r="1415" spans="1:32">
      <c r="A1415" s="11"/>
      <c r="C1415" s="11"/>
      <c r="E1415" s="12"/>
      <c r="F1415" s="18"/>
      <c r="G1415" s="2"/>
      <c r="H1415" s="2"/>
      <c r="J1415" s="11"/>
      <c r="M1415" s="10"/>
      <c r="N1415" s="10"/>
      <c r="AF1415" s="2"/>
    </row>
    <row r="1416" spans="1:32">
      <c r="A1416" s="11"/>
      <c r="C1416" s="11"/>
      <c r="E1416" s="12"/>
      <c r="F1416" s="18"/>
      <c r="G1416" s="19"/>
      <c r="J1416" s="11"/>
      <c r="M1416" s="10"/>
      <c r="N1416" s="10"/>
      <c r="AF1416" s="2"/>
    </row>
    <row r="1417" spans="1:32">
      <c r="A1417" s="20"/>
      <c r="G1417" s="19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  <c r="V1417" s="24"/>
      <c r="W1417" s="24"/>
      <c r="X1417" s="24"/>
      <c r="Y1417" s="24"/>
      <c r="Z1417" s="24"/>
      <c r="AA1417" s="24"/>
      <c r="AB1417" s="24"/>
      <c r="AC1417" s="24"/>
      <c r="AD1417" s="24"/>
      <c r="AE1417" s="24"/>
      <c r="AF1417" s="2"/>
    </row>
    <row r="1418" spans="1:32">
      <c r="A1418" s="22"/>
      <c r="B1418" s="5"/>
      <c r="C1418" s="11"/>
      <c r="E1418" s="27"/>
      <c r="F1418" s="6"/>
      <c r="G1418" s="28"/>
      <c r="I1418" s="29"/>
      <c r="J1418" s="11"/>
      <c r="K1418" s="2"/>
      <c r="L1418" s="11"/>
      <c r="M1418" s="28"/>
      <c r="AF1418" s="2"/>
    </row>
    <row r="1419" spans="1:32">
      <c r="A1419" s="20"/>
      <c r="G1419" s="19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</row>
    <row r="1420" spans="1:32">
      <c r="A1420" s="14"/>
      <c r="B1420" s="5"/>
      <c r="E1420" s="12"/>
      <c r="F1420" s="6"/>
      <c r="G1420" s="2"/>
      <c r="I1420" s="2"/>
      <c r="J1420" s="10"/>
      <c r="K1420" s="9"/>
      <c r="AF1420" s="2"/>
    </row>
    <row r="1421" spans="1:32">
      <c r="A1421" s="20"/>
      <c r="G1421" s="19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</row>
    <row r="1422" spans="1:32">
      <c r="A1422" s="14"/>
      <c r="E1422" s="30"/>
      <c r="H1422" s="2"/>
      <c r="I1422" s="2"/>
      <c r="J1422" s="2"/>
      <c r="K1422" s="9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</row>
    <row r="1423" spans="1:32">
      <c r="A1423" s="3"/>
      <c r="B1423" s="16"/>
      <c r="E1423" s="12"/>
      <c r="F1423" s="6"/>
      <c r="G1423" s="32"/>
      <c r="H1423" s="2"/>
      <c r="I1423" s="29"/>
      <c r="K1423" s="10"/>
      <c r="L1423" s="3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</row>
    <row r="1424" spans="1:32">
      <c r="A1424" s="20"/>
      <c r="B1424" s="16"/>
      <c r="E1424" s="30"/>
      <c r="F1424" s="6"/>
      <c r="G1424" s="32"/>
      <c r="H1424" s="33"/>
      <c r="I1424" s="86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</row>
    <row r="1425" spans="1:32">
      <c r="A1425" s="20"/>
      <c r="B1425" s="16"/>
      <c r="E1425" s="30"/>
      <c r="F1425" s="6"/>
      <c r="G1425" s="32"/>
      <c r="H1425" s="33"/>
      <c r="I1425" s="3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</row>
    <row r="1426" spans="1:32">
      <c r="A1426" s="3"/>
      <c r="E1426" s="12"/>
      <c r="F1426" s="6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</row>
    <row r="1427" spans="1:32"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</row>
    <row r="1428" spans="1:32">
      <c r="G1428" s="9"/>
      <c r="H1428" s="84"/>
      <c r="I1428" s="84"/>
      <c r="J1428" s="84"/>
      <c r="K1428" s="84"/>
      <c r="L1428" s="84"/>
      <c r="M1428" s="84"/>
      <c r="N1428" s="84"/>
      <c r="O1428" s="84"/>
      <c r="P1428" s="84"/>
      <c r="Q1428" s="84"/>
      <c r="R1428" s="84"/>
      <c r="S1428" s="84"/>
      <c r="T1428" s="84"/>
      <c r="U1428" s="84"/>
      <c r="V1428" s="84"/>
      <c r="W1428" s="84"/>
      <c r="X1428" s="84"/>
      <c r="Y1428" s="84"/>
      <c r="Z1428" s="84"/>
      <c r="AA1428" s="84"/>
      <c r="AB1428" s="84"/>
      <c r="AC1428" s="84"/>
      <c r="AD1428" s="84"/>
      <c r="AE1428" s="84"/>
      <c r="AF1428" s="2"/>
    </row>
    <row r="1429" spans="1:32">
      <c r="A1429" s="3"/>
      <c r="G1429" s="19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  <c r="V1429" s="24"/>
      <c r="W1429" s="24"/>
      <c r="X1429" s="24"/>
      <c r="Y1429" s="24"/>
      <c r="Z1429" s="24"/>
      <c r="AA1429" s="24"/>
      <c r="AB1429" s="24"/>
      <c r="AC1429" s="24"/>
      <c r="AD1429" s="24"/>
      <c r="AE1429" s="24"/>
      <c r="AF1429" s="2"/>
    </row>
    <row r="1430" spans="1:32">
      <c r="C1430" s="5"/>
      <c r="J1430" s="2"/>
      <c r="K1430" s="2"/>
      <c r="L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</row>
    <row r="1431" spans="1:32">
      <c r="A1431" s="20"/>
      <c r="G1431" s="19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</row>
    <row r="1432" spans="1:32">
      <c r="B1432" s="5"/>
      <c r="C1432" s="11"/>
      <c r="E1432" s="12"/>
      <c r="F1432" s="18"/>
      <c r="G1432" s="19"/>
      <c r="H1432" s="2"/>
      <c r="I1432" s="2"/>
      <c r="J1432" s="2"/>
      <c r="K1432" s="9"/>
      <c r="AF1432" s="2"/>
    </row>
    <row r="1433" spans="1:32">
      <c r="A1433" s="11"/>
      <c r="C1433" s="11"/>
      <c r="E1433" s="12"/>
      <c r="F1433" s="18"/>
      <c r="G1433" s="2"/>
      <c r="H1433" s="2"/>
      <c r="J1433" s="11"/>
      <c r="AF1433" s="2"/>
    </row>
    <row r="1434" spans="1:32">
      <c r="A1434" s="11"/>
      <c r="C1434" s="11"/>
      <c r="E1434" s="12"/>
      <c r="F1434" s="18"/>
      <c r="G1434" s="19"/>
      <c r="H1434" s="2"/>
      <c r="I1434" s="12"/>
      <c r="K1434" s="11"/>
      <c r="AF1434" s="2"/>
    </row>
    <row r="1435" spans="1:32">
      <c r="A1435" s="11"/>
      <c r="B1435" s="2"/>
      <c r="C1435" s="11"/>
      <c r="E1435" s="12"/>
      <c r="F1435" s="18"/>
      <c r="G1435" s="19"/>
      <c r="H1435" s="2"/>
      <c r="I1435" s="12"/>
      <c r="K1435" s="11"/>
      <c r="AF1435" s="2"/>
    </row>
    <row r="1436" spans="1:32">
      <c r="A1436" s="20"/>
      <c r="G1436" s="19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</row>
    <row r="1437" spans="1:32">
      <c r="A1437" s="14"/>
      <c r="B1437" s="5"/>
      <c r="G1437" s="2"/>
      <c r="H1437" s="2"/>
      <c r="I1437" s="2"/>
      <c r="J1437" s="10"/>
      <c r="K1437" s="9"/>
      <c r="AF1437" s="2"/>
    </row>
    <row r="1438" spans="1:32">
      <c r="A1438" s="11"/>
      <c r="C1438" s="11"/>
      <c r="E1438" s="12"/>
      <c r="F1438" s="18"/>
      <c r="G1438" s="2"/>
      <c r="H1438" s="2"/>
      <c r="J1438" s="11"/>
      <c r="M1438" s="10"/>
      <c r="N1438" s="10"/>
      <c r="AF1438" s="2"/>
    </row>
    <row r="1439" spans="1:32">
      <c r="A1439" s="11"/>
      <c r="C1439" s="11"/>
      <c r="E1439" s="12"/>
      <c r="F1439" s="18"/>
      <c r="G1439" s="19"/>
      <c r="H1439" s="2"/>
      <c r="J1439" s="11"/>
      <c r="M1439" s="10"/>
      <c r="N1439" s="10"/>
      <c r="AF1439" s="2"/>
    </row>
    <row r="1440" spans="1:32">
      <c r="A1440" s="20"/>
      <c r="G1440" s="19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  <c r="V1440" s="24"/>
      <c r="W1440" s="24"/>
      <c r="X1440" s="24"/>
      <c r="Y1440" s="24"/>
      <c r="Z1440" s="24"/>
      <c r="AA1440" s="24"/>
      <c r="AB1440" s="24"/>
      <c r="AC1440" s="24"/>
      <c r="AD1440" s="24"/>
      <c r="AE1440" s="24"/>
      <c r="AF1440" s="2"/>
    </row>
    <row r="1441" spans="1:33">
      <c r="A1441" s="22"/>
      <c r="B1441" s="5"/>
      <c r="C1441" s="11"/>
      <c r="E1441" s="27"/>
      <c r="F1441" s="6"/>
      <c r="G1441" s="28"/>
      <c r="I1441" s="29"/>
      <c r="J1441" s="11"/>
      <c r="K1441" s="2"/>
      <c r="L1441" s="11"/>
      <c r="M1441" s="28"/>
      <c r="AF1441" s="2"/>
    </row>
    <row r="1442" spans="1:33">
      <c r="A1442" s="20"/>
      <c r="G1442" s="19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</row>
    <row r="1443" spans="1:33">
      <c r="A1443" s="14"/>
      <c r="B1443" s="5"/>
      <c r="E1443" s="12"/>
      <c r="F1443" s="6"/>
      <c r="G1443" s="2"/>
      <c r="I1443" s="2"/>
      <c r="J1443" s="10"/>
      <c r="K1443" s="9"/>
      <c r="AF1443" s="2"/>
    </row>
    <row r="1444" spans="1:33">
      <c r="A1444" s="20"/>
      <c r="G1444" s="19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</row>
    <row r="1445" spans="1:33">
      <c r="A1445" s="14"/>
      <c r="E1445" s="30"/>
      <c r="H1445" s="2"/>
      <c r="I1445" s="2"/>
      <c r="J1445" s="2"/>
      <c r="K1445" s="9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</row>
    <row r="1446" spans="1:33">
      <c r="A1446" s="3"/>
      <c r="B1446" s="16"/>
      <c r="E1446" s="12"/>
      <c r="F1446" s="6"/>
      <c r="G1446" s="32"/>
      <c r="H1446" s="2"/>
      <c r="I1446" s="29"/>
      <c r="K1446" s="10"/>
      <c r="L1446" s="3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</row>
    <row r="1447" spans="1:33">
      <c r="A1447" s="20"/>
      <c r="B1447" s="16"/>
      <c r="E1447" s="30"/>
      <c r="F1447" s="6"/>
      <c r="G1447" s="32"/>
      <c r="H1447" s="33"/>
      <c r="I1447" s="86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</row>
    <row r="1448" spans="1:33">
      <c r="A1448" s="39"/>
      <c r="B1448" s="16"/>
      <c r="E1448" s="30"/>
      <c r="F1448" s="6"/>
      <c r="G1448" s="32"/>
      <c r="H1448" s="33"/>
      <c r="I1448" s="3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</row>
    <row r="1449" spans="1:33">
      <c r="A1449" s="3"/>
      <c r="E1449" s="12"/>
      <c r="F1449" s="6"/>
      <c r="G1449" s="87"/>
      <c r="H1449" s="21"/>
      <c r="I1449" s="2"/>
      <c r="J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</row>
    <row r="1450" spans="1:33">
      <c r="A1450" s="20"/>
      <c r="B1450" s="11"/>
      <c r="C1450" s="11"/>
      <c r="E1450" s="14"/>
      <c r="F1450" s="31"/>
      <c r="G1450" s="19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8"/>
      <c r="AG1450" s="11"/>
    </row>
    <row r="1451" spans="1:33">
      <c r="A1451" s="3"/>
      <c r="B1451" s="5"/>
      <c r="C1451" s="11"/>
      <c r="F1451" s="27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8"/>
      <c r="AG1451" s="11"/>
    </row>
    <row r="1452" spans="1:33">
      <c r="A1452" s="20"/>
      <c r="B1452" s="11"/>
      <c r="C1452" s="11"/>
      <c r="D1452" s="24"/>
      <c r="E1452" s="27"/>
      <c r="F1452" s="6"/>
      <c r="G1452" s="19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8"/>
      <c r="AG1452" s="11"/>
    </row>
    <row r="1453" spans="1:33">
      <c r="A1453" s="20"/>
      <c r="B1453" s="16"/>
      <c r="C1453" s="11"/>
      <c r="D1453" s="11"/>
      <c r="E1453" s="21"/>
      <c r="F1453" s="21"/>
      <c r="G1453" s="82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  <c r="V1453" s="24"/>
      <c r="W1453" s="24"/>
      <c r="X1453" s="24"/>
      <c r="Y1453" s="24"/>
      <c r="Z1453" s="24"/>
      <c r="AA1453" s="24"/>
      <c r="AB1453" s="24"/>
      <c r="AC1453" s="24"/>
      <c r="AD1453" s="24"/>
      <c r="AE1453" s="24"/>
      <c r="AF1453" s="28"/>
      <c r="AG1453" s="11"/>
    </row>
    <row r="1454" spans="1:33">
      <c r="A1454" s="20"/>
      <c r="B1454" s="16"/>
      <c r="C1454" s="11"/>
      <c r="D1454" s="11"/>
      <c r="E1454" s="21"/>
      <c r="F1454" s="21"/>
      <c r="G1454" s="82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  <c r="V1454" s="24"/>
      <c r="W1454" s="24"/>
      <c r="X1454" s="24"/>
      <c r="Y1454" s="24"/>
      <c r="Z1454" s="24"/>
      <c r="AA1454" s="24"/>
      <c r="AB1454" s="24"/>
      <c r="AC1454" s="24"/>
      <c r="AD1454" s="24"/>
      <c r="AE1454" s="24"/>
      <c r="AF1454" s="28"/>
      <c r="AG1454" s="11"/>
    </row>
    <row r="1455" spans="1:33">
      <c r="A1455" s="3"/>
      <c r="B1455" s="16"/>
      <c r="C1455" s="11"/>
      <c r="D1455" s="11"/>
      <c r="E1455" s="21"/>
      <c r="F1455" s="21"/>
      <c r="G1455" s="82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  <c r="V1455" s="24"/>
      <c r="W1455" s="24"/>
      <c r="X1455" s="24"/>
      <c r="Y1455" s="24"/>
      <c r="Z1455" s="24"/>
      <c r="AA1455" s="24"/>
      <c r="AB1455" s="24"/>
      <c r="AC1455" s="24"/>
      <c r="AD1455" s="24"/>
      <c r="AE1455" s="24"/>
      <c r="AF1455" s="28"/>
      <c r="AG1455" s="11"/>
    </row>
    <row r="1456" spans="1:33">
      <c r="G1456" s="2"/>
      <c r="H1456" s="83"/>
      <c r="I1456" s="83"/>
      <c r="J1456" s="83"/>
      <c r="K1456" s="83"/>
      <c r="L1456" s="83"/>
      <c r="M1456" s="83"/>
      <c r="N1456" s="83"/>
      <c r="O1456" s="83"/>
      <c r="P1456" s="83"/>
      <c r="Q1456" s="83"/>
      <c r="R1456" s="83"/>
      <c r="S1456" s="83"/>
      <c r="T1456" s="83"/>
      <c r="U1456" s="83"/>
      <c r="V1456" s="83"/>
      <c r="W1456" s="83"/>
      <c r="X1456" s="83"/>
      <c r="Y1456" s="83"/>
      <c r="Z1456" s="83"/>
      <c r="AA1456" s="83"/>
      <c r="AB1456" s="83"/>
      <c r="AC1456" s="83"/>
      <c r="AD1456" s="83"/>
      <c r="AE1456" s="83"/>
      <c r="AF1456" s="2"/>
    </row>
    <row r="1457" spans="1:33">
      <c r="G1457" s="9"/>
      <c r="H1457" s="84"/>
      <c r="I1457" s="84"/>
      <c r="J1457" s="84"/>
      <c r="K1457" s="84"/>
      <c r="L1457" s="84"/>
      <c r="M1457" s="84"/>
      <c r="N1457" s="84"/>
      <c r="O1457" s="84"/>
      <c r="P1457" s="84"/>
      <c r="Q1457" s="84"/>
      <c r="R1457" s="84"/>
      <c r="S1457" s="84"/>
      <c r="T1457" s="84"/>
      <c r="U1457" s="84"/>
      <c r="V1457" s="84"/>
      <c r="W1457" s="84"/>
      <c r="X1457" s="84"/>
      <c r="Y1457" s="84"/>
      <c r="Z1457" s="84"/>
      <c r="AA1457" s="84"/>
      <c r="AB1457" s="84"/>
      <c r="AC1457" s="84"/>
      <c r="AD1457" s="84"/>
      <c r="AE1457" s="84"/>
      <c r="AF1457" s="2"/>
    </row>
    <row r="1458" spans="1:33">
      <c r="A1458" s="3"/>
      <c r="G1458" s="19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  <c r="V1458" s="24"/>
      <c r="W1458" s="24"/>
      <c r="X1458" s="24"/>
      <c r="Y1458" s="24"/>
      <c r="Z1458" s="24"/>
      <c r="AA1458" s="24"/>
      <c r="AB1458" s="24"/>
      <c r="AC1458" s="24"/>
      <c r="AD1458" s="24"/>
      <c r="AE1458" s="24"/>
      <c r="AF1458" s="28"/>
      <c r="AG1458" s="11"/>
    </row>
    <row r="1459" spans="1:33">
      <c r="B1459" s="5"/>
      <c r="J1459" s="2"/>
      <c r="K1459" s="2"/>
      <c r="L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</row>
    <row r="1460" spans="1:33">
      <c r="A1460" s="20"/>
      <c r="B1460" s="11"/>
      <c r="C1460" s="11"/>
      <c r="E1460" s="14"/>
      <c r="F1460" s="31"/>
      <c r="G1460" s="19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8"/>
      <c r="AG1460" s="11"/>
    </row>
    <row r="1461" spans="1:33">
      <c r="A1461" s="3"/>
      <c r="B1461" s="5"/>
      <c r="C1461" s="11"/>
      <c r="F1461" s="27"/>
      <c r="G1461" s="2"/>
      <c r="H1461" s="2"/>
      <c r="I1461" s="2"/>
      <c r="J1461" s="2"/>
      <c r="K1461" s="2"/>
      <c r="M1461" s="2"/>
      <c r="N1461" s="28"/>
      <c r="O1461" s="28"/>
      <c r="P1461" s="28"/>
      <c r="Q1461" s="28"/>
      <c r="R1461" s="28"/>
      <c r="S1461" s="28"/>
      <c r="T1461" s="28"/>
      <c r="U1461" s="28"/>
      <c r="V1461" s="28"/>
      <c r="W1461" s="28"/>
      <c r="X1461" s="28"/>
      <c r="Y1461" s="28"/>
      <c r="Z1461" s="28"/>
      <c r="AA1461" s="28"/>
      <c r="AB1461" s="28"/>
      <c r="AC1461" s="28"/>
      <c r="AD1461" s="28"/>
      <c r="AE1461" s="28"/>
      <c r="AF1461" s="28"/>
      <c r="AG1461" s="11"/>
    </row>
    <row r="1462" spans="1:33">
      <c r="A1462" s="11"/>
      <c r="C1462" s="11"/>
      <c r="E1462" s="12"/>
      <c r="F1462" s="18"/>
      <c r="G1462" s="2"/>
      <c r="H1462" s="2"/>
      <c r="J1462" s="11"/>
      <c r="AF1462" s="2"/>
    </row>
    <row r="1463" spans="1:33">
      <c r="A1463" s="11"/>
      <c r="C1463" s="11"/>
      <c r="E1463" s="12"/>
      <c r="F1463" s="18"/>
      <c r="G1463" s="19"/>
      <c r="H1463" s="2"/>
      <c r="I1463" s="12"/>
      <c r="K1463" s="11"/>
      <c r="AF1463" s="2"/>
    </row>
    <row r="1464" spans="1:33">
      <c r="A1464" s="11"/>
      <c r="B1464" s="2"/>
      <c r="C1464" s="11"/>
      <c r="E1464" s="12"/>
      <c r="F1464" s="18"/>
      <c r="G1464" s="19"/>
      <c r="H1464" s="2"/>
      <c r="I1464" s="12"/>
      <c r="K1464" s="11"/>
      <c r="AF1464" s="2"/>
    </row>
    <row r="1465" spans="1:33">
      <c r="A1465" s="20"/>
      <c r="G1465" s="19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  <c r="V1465" s="24"/>
      <c r="W1465" s="24"/>
      <c r="X1465" s="24"/>
      <c r="Y1465" s="24"/>
      <c r="Z1465" s="24"/>
      <c r="AA1465" s="24"/>
      <c r="AB1465" s="24"/>
      <c r="AC1465" s="24"/>
      <c r="AD1465" s="24"/>
      <c r="AE1465" s="24"/>
      <c r="AF1465" s="2"/>
    </row>
    <row r="1466" spans="1:33">
      <c r="A1466" s="22"/>
      <c r="B1466" s="5"/>
      <c r="C1466" s="11"/>
      <c r="E1466" s="27"/>
      <c r="F1466" s="6"/>
      <c r="G1466" s="28"/>
      <c r="I1466" s="29"/>
      <c r="J1466" s="11"/>
      <c r="K1466" s="2"/>
      <c r="L1466" s="11"/>
      <c r="M1466" s="28"/>
      <c r="AF1466" s="2"/>
    </row>
    <row r="1467" spans="1:33">
      <c r="A1467" s="20"/>
      <c r="B1467" s="11"/>
      <c r="C1467" s="11"/>
      <c r="D1467" s="24"/>
      <c r="E1467" s="27"/>
      <c r="F1467" s="6"/>
      <c r="G1467" s="19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8"/>
      <c r="AG1467" s="11"/>
    </row>
    <row r="1468" spans="1:33">
      <c r="A1468" s="14"/>
      <c r="B1468" s="5"/>
      <c r="E1468" s="12"/>
      <c r="F1468" s="6"/>
      <c r="G1468" s="2"/>
      <c r="H1468" s="2"/>
      <c r="J1468" s="10"/>
      <c r="K1468" s="9"/>
      <c r="AF1468" s="2"/>
    </row>
    <row r="1469" spans="1:33">
      <c r="A1469" s="20"/>
      <c r="B1469" s="16"/>
      <c r="C1469" s="11"/>
      <c r="D1469" s="11"/>
      <c r="E1469" s="21"/>
      <c r="F1469" s="21"/>
      <c r="G1469" s="82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  <c r="V1469" s="24"/>
      <c r="W1469" s="24"/>
      <c r="X1469" s="24"/>
      <c r="Y1469" s="24"/>
      <c r="Z1469" s="24"/>
      <c r="AA1469" s="24"/>
      <c r="AB1469" s="24"/>
      <c r="AC1469" s="24"/>
      <c r="AD1469" s="24"/>
      <c r="AE1469" s="24"/>
      <c r="AF1469" s="28"/>
      <c r="AG1469" s="11"/>
    </row>
    <row r="1470" spans="1:33">
      <c r="A1470" s="20"/>
      <c r="B1470" s="16"/>
      <c r="C1470" s="11"/>
      <c r="D1470" s="11"/>
      <c r="E1470" s="21"/>
      <c r="F1470" s="21"/>
      <c r="G1470" s="82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  <c r="V1470" s="24"/>
      <c r="W1470" s="24"/>
      <c r="X1470" s="24"/>
      <c r="Y1470" s="24"/>
      <c r="Z1470" s="24"/>
      <c r="AA1470" s="24"/>
      <c r="AB1470" s="24"/>
      <c r="AC1470" s="24"/>
      <c r="AD1470" s="24"/>
      <c r="AE1470" s="24"/>
      <c r="AF1470" s="28"/>
      <c r="AG1470" s="11"/>
    </row>
    <row r="1471" spans="1:33">
      <c r="B1471" s="16"/>
      <c r="C1471" s="16"/>
      <c r="D1471" s="11"/>
      <c r="E1471" s="21"/>
      <c r="F1471" s="21"/>
      <c r="G1471" s="82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  <c r="V1471" s="24"/>
      <c r="W1471" s="24"/>
      <c r="X1471" s="24"/>
      <c r="Y1471" s="24"/>
      <c r="Z1471" s="24"/>
      <c r="AA1471" s="24"/>
      <c r="AB1471" s="24"/>
      <c r="AC1471" s="24"/>
      <c r="AD1471" s="24"/>
      <c r="AE1471" s="24"/>
      <c r="AF1471" s="28"/>
      <c r="AG1471" s="11"/>
    </row>
    <row r="1472" spans="1:33">
      <c r="A1472" s="3"/>
      <c r="B1472" s="16"/>
      <c r="C1472" s="11"/>
      <c r="D1472" s="11"/>
      <c r="E1472" s="21"/>
      <c r="F1472" s="21"/>
      <c r="G1472" s="82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  <c r="V1472" s="24"/>
      <c r="W1472" s="24"/>
      <c r="X1472" s="24"/>
      <c r="Y1472" s="24"/>
      <c r="Z1472" s="24"/>
      <c r="AA1472" s="24"/>
      <c r="AB1472" s="24"/>
      <c r="AC1472" s="24"/>
      <c r="AD1472" s="24"/>
      <c r="AE1472" s="24"/>
      <c r="AF1472" s="28"/>
      <c r="AG1472" s="11"/>
    </row>
    <row r="1473" spans="1:33"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</row>
    <row r="1474" spans="1:33">
      <c r="G1474" s="9"/>
      <c r="H1474" s="84"/>
      <c r="I1474" s="84"/>
      <c r="J1474" s="84"/>
      <c r="K1474" s="84"/>
      <c r="L1474" s="84"/>
      <c r="M1474" s="84"/>
      <c r="N1474" s="84"/>
      <c r="O1474" s="84"/>
      <c r="P1474" s="84"/>
      <c r="Q1474" s="84"/>
      <c r="R1474" s="84"/>
      <c r="S1474" s="84"/>
      <c r="T1474" s="84"/>
      <c r="U1474" s="84"/>
      <c r="V1474" s="84"/>
      <c r="W1474" s="84"/>
      <c r="X1474" s="84"/>
      <c r="Y1474" s="84"/>
      <c r="Z1474" s="84"/>
      <c r="AA1474" s="84"/>
      <c r="AB1474" s="84"/>
      <c r="AC1474" s="84"/>
      <c r="AD1474" s="84"/>
      <c r="AE1474" s="84"/>
      <c r="AF1474" s="2"/>
    </row>
    <row r="1475" spans="1:33">
      <c r="A1475" s="3"/>
      <c r="G1475" s="19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  <c r="V1475" s="24"/>
      <c r="W1475" s="24"/>
      <c r="X1475" s="24"/>
      <c r="Y1475" s="24"/>
      <c r="Z1475" s="24"/>
      <c r="AA1475" s="24"/>
      <c r="AB1475" s="24"/>
      <c r="AC1475" s="24"/>
      <c r="AD1475" s="24"/>
      <c r="AE1475" s="24"/>
      <c r="AF1475" s="28"/>
      <c r="AG1475" s="11"/>
    </row>
    <row r="1476" spans="1:33">
      <c r="B1476" s="5"/>
      <c r="J1476" s="2"/>
      <c r="K1476" s="2"/>
      <c r="L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</row>
    <row r="1477" spans="1:33">
      <c r="A1477" s="20"/>
      <c r="B1477" s="11"/>
      <c r="C1477" s="11"/>
      <c r="E1477" s="14"/>
      <c r="F1477" s="31"/>
      <c r="G1477" s="19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8"/>
      <c r="AG1477" s="11"/>
    </row>
    <row r="1478" spans="1:33">
      <c r="A1478" s="3"/>
      <c r="B1478" s="5"/>
      <c r="C1478" s="11"/>
      <c r="F1478" s="27"/>
      <c r="G1478" s="2"/>
      <c r="H1478" s="2"/>
      <c r="I1478" s="2"/>
      <c r="J1478" s="2"/>
      <c r="K1478" s="2"/>
      <c r="M1478" s="2"/>
      <c r="N1478" s="28"/>
      <c r="O1478" s="28"/>
      <c r="P1478" s="28"/>
      <c r="Q1478" s="28"/>
      <c r="R1478" s="28"/>
      <c r="S1478" s="28"/>
      <c r="T1478" s="28"/>
      <c r="U1478" s="28"/>
      <c r="V1478" s="28"/>
      <c r="W1478" s="28"/>
      <c r="X1478" s="28"/>
      <c r="Y1478" s="28"/>
      <c r="Z1478" s="28"/>
      <c r="AA1478" s="28"/>
      <c r="AB1478" s="28"/>
      <c r="AC1478" s="28"/>
      <c r="AD1478" s="28"/>
      <c r="AE1478" s="28"/>
      <c r="AF1478" s="28"/>
      <c r="AG1478" s="11"/>
    </row>
    <row r="1479" spans="1:33">
      <c r="A1479" s="11"/>
      <c r="C1479" s="11"/>
      <c r="E1479" s="12"/>
      <c r="F1479" s="18"/>
      <c r="G1479" s="2"/>
      <c r="H1479" s="2"/>
      <c r="J1479" s="11"/>
      <c r="AF1479" s="2"/>
    </row>
    <row r="1480" spans="1:33">
      <c r="A1480" s="11"/>
      <c r="C1480" s="11"/>
      <c r="E1480" s="12"/>
      <c r="F1480" s="18"/>
      <c r="G1480" s="19"/>
      <c r="H1480" s="2"/>
      <c r="I1480" s="12"/>
      <c r="K1480" s="11"/>
      <c r="AF1480" s="2"/>
    </row>
    <row r="1481" spans="1:33">
      <c r="A1481" s="11"/>
      <c r="B1481" s="2"/>
      <c r="C1481" s="11"/>
      <c r="E1481" s="12"/>
      <c r="F1481" s="18"/>
      <c r="G1481" s="19"/>
      <c r="H1481" s="2"/>
      <c r="I1481" s="12"/>
      <c r="K1481" s="11"/>
      <c r="AF1481" s="2"/>
    </row>
    <row r="1482" spans="1:33">
      <c r="A1482" s="20"/>
      <c r="G1482" s="19"/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  <c r="V1482" s="24"/>
      <c r="W1482" s="24"/>
      <c r="X1482" s="24"/>
      <c r="Y1482" s="24"/>
      <c r="Z1482" s="24"/>
      <c r="AA1482" s="24"/>
      <c r="AB1482" s="24"/>
      <c r="AC1482" s="24"/>
      <c r="AD1482" s="24"/>
      <c r="AE1482" s="24"/>
      <c r="AF1482" s="2"/>
    </row>
    <row r="1483" spans="1:33">
      <c r="A1483" s="22"/>
      <c r="B1483" s="5"/>
      <c r="C1483" s="11"/>
      <c r="E1483" s="27"/>
      <c r="F1483" s="6"/>
      <c r="G1483" s="28"/>
      <c r="I1483" s="29"/>
      <c r="J1483" s="11"/>
      <c r="K1483" s="2"/>
      <c r="L1483" s="11"/>
      <c r="M1483" s="28"/>
      <c r="AF1483" s="2"/>
    </row>
    <row r="1484" spans="1:33">
      <c r="A1484" s="20"/>
      <c r="B1484" s="11"/>
      <c r="C1484" s="11"/>
      <c r="D1484" s="24"/>
      <c r="E1484" s="27"/>
      <c r="F1484" s="6"/>
      <c r="G1484" s="19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8"/>
      <c r="AG1484" s="11"/>
    </row>
    <row r="1485" spans="1:33">
      <c r="A1485" s="14"/>
      <c r="B1485" s="5"/>
      <c r="E1485" s="12"/>
      <c r="F1485" s="6"/>
      <c r="G1485" s="2"/>
      <c r="H1485" s="2"/>
      <c r="J1485" s="10"/>
      <c r="K1485" s="9"/>
      <c r="AF1485" s="2"/>
    </row>
    <row r="1486" spans="1:33">
      <c r="A1486" s="20"/>
      <c r="B1486" s="16"/>
      <c r="C1486" s="11"/>
      <c r="D1486" s="11"/>
      <c r="E1486" s="21"/>
      <c r="F1486" s="21"/>
      <c r="G1486" s="82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  <c r="AE1486" s="24"/>
      <c r="AF1486" s="28"/>
      <c r="AG1486" s="11"/>
    </row>
    <row r="1487" spans="1:33">
      <c r="A1487" s="20"/>
      <c r="B1487" s="16"/>
      <c r="C1487" s="11"/>
      <c r="D1487" s="11"/>
      <c r="E1487" s="21"/>
      <c r="F1487" s="21"/>
      <c r="G1487" s="82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  <c r="V1487" s="24"/>
      <c r="W1487" s="24"/>
      <c r="X1487" s="24"/>
      <c r="Y1487" s="24"/>
      <c r="Z1487" s="24"/>
      <c r="AA1487" s="24"/>
      <c r="AB1487" s="24"/>
      <c r="AC1487" s="24"/>
      <c r="AD1487" s="24"/>
      <c r="AE1487" s="24"/>
      <c r="AF1487" s="28"/>
      <c r="AG1487" s="11"/>
    </row>
    <row r="1489" spans="1:33" ht="18.75">
      <c r="A1489" s="43"/>
    </row>
    <row r="1490" spans="1:33">
      <c r="A1490" s="39"/>
      <c r="B1490" s="16"/>
      <c r="G1490" s="32"/>
      <c r="H1490" s="33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</row>
    <row r="1491" spans="1:33">
      <c r="A1491" s="3"/>
      <c r="B1491" s="16"/>
      <c r="C1491" s="11"/>
      <c r="D1491" s="11"/>
      <c r="E1491" s="27"/>
      <c r="F1491" s="6"/>
      <c r="G1491" s="32"/>
      <c r="H1491" s="33"/>
      <c r="I1491" s="29"/>
      <c r="J1491" s="28"/>
      <c r="K1491" s="11"/>
      <c r="L1491" s="11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W1491" s="28"/>
      <c r="X1491" s="28"/>
      <c r="Y1491" s="28"/>
      <c r="Z1491" s="28"/>
      <c r="AA1491" s="28"/>
      <c r="AB1491" s="28"/>
      <c r="AC1491" s="28"/>
      <c r="AD1491" s="28"/>
      <c r="AE1491" s="28"/>
      <c r="AF1491" s="28"/>
      <c r="AG1491" s="11"/>
    </row>
    <row r="1492" spans="1:33"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</row>
    <row r="1493" spans="1:33">
      <c r="G1493" s="9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2"/>
    </row>
    <row r="1494" spans="1:33" ht="15" customHeight="1">
      <c r="A1494" s="3"/>
      <c r="B1494" s="11"/>
      <c r="C1494" s="11"/>
      <c r="D1494" s="11"/>
      <c r="E1494" s="27"/>
      <c r="F1494" s="6"/>
      <c r="G1494" s="19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  <c r="V1494" s="24"/>
      <c r="W1494" s="24"/>
      <c r="X1494" s="24"/>
      <c r="Y1494" s="24"/>
      <c r="Z1494" s="24"/>
      <c r="AA1494" s="24"/>
      <c r="AB1494" s="24"/>
      <c r="AC1494" s="24"/>
      <c r="AD1494" s="24"/>
      <c r="AE1494" s="24"/>
      <c r="AF1494" s="28"/>
      <c r="AG1494" s="11"/>
    </row>
    <row r="1495" spans="1:33">
      <c r="A1495" s="3"/>
      <c r="B1495" s="5"/>
      <c r="C1495" s="11"/>
      <c r="F1495" s="27"/>
      <c r="I1495" s="2"/>
      <c r="K1495" s="2"/>
      <c r="M1495" s="2"/>
      <c r="N1495" s="28"/>
      <c r="O1495" s="28"/>
      <c r="P1495" s="28"/>
      <c r="Q1495" s="28"/>
      <c r="R1495" s="28"/>
      <c r="S1495" s="28"/>
      <c r="T1495" s="28"/>
      <c r="U1495" s="28"/>
      <c r="V1495" s="28"/>
      <c r="W1495" s="28"/>
      <c r="X1495" s="28"/>
      <c r="Y1495" s="28"/>
      <c r="Z1495" s="28"/>
      <c r="AA1495" s="28"/>
      <c r="AB1495" s="28"/>
      <c r="AC1495" s="28"/>
      <c r="AD1495" s="28"/>
      <c r="AE1495" s="28"/>
      <c r="AF1495" s="28"/>
      <c r="AG1495" s="11"/>
    </row>
    <row r="1496" spans="1:33">
      <c r="A1496" s="3"/>
      <c r="C1496" s="11"/>
      <c r="D1496" s="2"/>
      <c r="F1496" s="27"/>
      <c r="G1496" s="2"/>
      <c r="I1496" s="2"/>
      <c r="K1496" s="2"/>
      <c r="M1496" s="2"/>
      <c r="N1496" s="28"/>
      <c r="O1496" s="28"/>
      <c r="P1496" s="28"/>
      <c r="Q1496" s="28"/>
      <c r="R1496" s="28"/>
      <c r="S1496" s="28"/>
      <c r="T1496" s="28"/>
      <c r="U1496" s="28"/>
      <c r="V1496" s="28"/>
      <c r="W1496" s="28"/>
      <c r="X1496" s="28"/>
      <c r="Y1496" s="28"/>
      <c r="Z1496" s="28"/>
      <c r="AA1496" s="28"/>
      <c r="AB1496" s="28"/>
      <c r="AC1496" s="28"/>
      <c r="AD1496" s="28"/>
      <c r="AE1496" s="28"/>
      <c r="AF1496" s="28"/>
      <c r="AG1496" s="11"/>
    </row>
    <row r="1497" spans="1:33">
      <c r="A1497" s="20"/>
      <c r="B1497" s="11"/>
      <c r="C1497" s="11"/>
      <c r="D1497" s="11"/>
      <c r="E1497" s="27"/>
      <c r="F1497" s="6"/>
      <c r="G1497" s="19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4"/>
      <c r="W1497" s="24"/>
      <c r="X1497" s="24"/>
      <c r="Y1497" s="24"/>
      <c r="Z1497" s="24"/>
      <c r="AA1497" s="24"/>
      <c r="AB1497" s="24"/>
      <c r="AC1497" s="24"/>
      <c r="AD1497" s="24"/>
      <c r="AE1497" s="24"/>
      <c r="AF1497" s="28"/>
      <c r="AG1497" s="11"/>
    </row>
    <row r="1498" spans="1:33">
      <c r="A1498" s="20"/>
      <c r="B1498" s="5"/>
      <c r="C1498" s="11"/>
      <c r="F1498" s="27"/>
      <c r="G1498" s="6"/>
      <c r="H1498" s="2"/>
      <c r="M1498" s="28"/>
      <c r="O1498" s="28"/>
      <c r="P1498" s="28"/>
      <c r="Q1498" s="11"/>
      <c r="R1498" s="28"/>
      <c r="S1498" s="28"/>
      <c r="T1498" s="28"/>
      <c r="U1498" s="28"/>
      <c r="V1498" s="28"/>
      <c r="W1498" s="28"/>
      <c r="X1498" s="28"/>
      <c r="Y1498" s="28"/>
      <c r="Z1498" s="28"/>
      <c r="AA1498" s="28"/>
      <c r="AB1498" s="28"/>
      <c r="AC1498" s="28"/>
      <c r="AD1498" s="28"/>
      <c r="AE1498" s="28"/>
      <c r="AF1498" s="28"/>
      <c r="AG1498" s="11"/>
    </row>
    <row r="1499" spans="1:33">
      <c r="A1499" s="20"/>
      <c r="B1499" s="11"/>
      <c r="C1499" s="11"/>
      <c r="D1499" s="11"/>
      <c r="E1499" s="27"/>
      <c r="F1499" s="6"/>
      <c r="G1499" s="19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  <c r="AA1499" s="24"/>
      <c r="AB1499" s="24"/>
      <c r="AC1499" s="24"/>
      <c r="AD1499" s="24"/>
      <c r="AE1499" s="24"/>
      <c r="AF1499" s="28"/>
      <c r="AG1499" s="11"/>
    </row>
    <row r="1500" spans="1:33">
      <c r="A1500" s="20"/>
      <c r="B1500" s="5"/>
      <c r="C1500" s="11"/>
      <c r="E1500" s="27"/>
      <c r="F1500" s="6"/>
      <c r="G1500" s="28"/>
      <c r="I1500" s="29"/>
      <c r="J1500" s="11"/>
      <c r="K1500" s="2"/>
      <c r="L1500" s="11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  <c r="X1500" s="28"/>
      <c r="Y1500" s="28"/>
      <c r="Z1500" s="28"/>
      <c r="AA1500" s="28"/>
      <c r="AB1500" s="28"/>
      <c r="AC1500" s="28"/>
      <c r="AD1500" s="28"/>
      <c r="AE1500" s="28"/>
      <c r="AF1500" s="28"/>
      <c r="AG1500" s="11"/>
    </row>
    <row r="1501" spans="1:33">
      <c r="A1501" s="20"/>
      <c r="B1501" s="11"/>
      <c r="C1501" s="11"/>
      <c r="D1501" s="11"/>
      <c r="E1501" s="27"/>
      <c r="F1501" s="6"/>
      <c r="G1501" s="19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  <c r="V1501" s="24"/>
      <c r="W1501" s="24"/>
      <c r="X1501" s="24"/>
      <c r="Y1501" s="24"/>
      <c r="Z1501" s="24"/>
      <c r="AA1501" s="24"/>
      <c r="AB1501" s="24"/>
      <c r="AC1501" s="24"/>
      <c r="AD1501" s="24"/>
      <c r="AE1501" s="24"/>
      <c r="AF1501" s="28"/>
      <c r="AG1501" s="11"/>
    </row>
    <row r="1502" spans="1:33">
      <c r="A1502" s="20"/>
      <c r="B1502" s="5"/>
      <c r="C1502" s="11"/>
      <c r="E1502" s="2"/>
      <c r="G1502" s="2"/>
      <c r="I1502" s="11"/>
      <c r="J1502" s="28"/>
      <c r="K1502" s="2"/>
      <c r="L1502" s="12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  <c r="X1502" s="28"/>
      <c r="Y1502" s="28"/>
      <c r="Z1502" s="28"/>
      <c r="AA1502" s="28"/>
      <c r="AB1502" s="28"/>
      <c r="AC1502" s="28"/>
      <c r="AD1502" s="28"/>
      <c r="AE1502" s="28"/>
      <c r="AF1502" s="28"/>
      <c r="AG1502" s="11"/>
    </row>
    <row r="1503" spans="1:33">
      <c r="A1503" s="20"/>
      <c r="B1503" s="16"/>
      <c r="C1503" s="11"/>
      <c r="D1503" s="11"/>
      <c r="E1503" s="27"/>
      <c r="F1503" s="6"/>
      <c r="G1503" s="32"/>
      <c r="H1503" s="33"/>
      <c r="I1503" s="29"/>
      <c r="J1503" s="28"/>
      <c r="K1503" s="11"/>
      <c r="L1503" s="11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  <c r="W1503" s="28"/>
      <c r="X1503" s="28"/>
      <c r="Y1503" s="28"/>
      <c r="Z1503" s="28"/>
      <c r="AA1503" s="28"/>
      <c r="AB1503" s="28"/>
      <c r="AC1503" s="28"/>
      <c r="AD1503" s="28"/>
      <c r="AE1503" s="28"/>
      <c r="AF1503" s="28"/>
      <c r="AG1503" s="11"/>
    </row>
    <row r="1504" spans="1:33">
      <c r="A1504" s="20"/>
      <c r="B1504" s="16"/>
      <c r="G1504" s="32"/>
      <c r="H1504" s="33"/>
      <c r="I1504" s="86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</row>
    <row r="1505" spans="1:33">
      <c r="A1505" s="3"/>
    </row>
    <row r="1506" spans="1:33">
      <c r="A1506" s="3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</row>
    <row r="1507" spans="1:33">
      <c r="A1507" s="3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</row>
    <row r="1508" spans="1:33">
      <c r="A1508" s="3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</row>
    <row r="1509" spans="1:33">
      <c r="A1509" s="3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</row>
    <row r="1510" spans="1:33">
      <c r="A1510" s="3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</row>
    <row r="1511" spans="1:33"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</row>
    <row r="1512" spans="1:33">
      <c r="G1512" s="2"/>
      <c r="H1512" s="83"/>
      <c r="I1512" s="83"/>
      <c r="J1512" s="83"/>
      <c r="K1512" s="83"/>
      <c r="L1512" s="83"/>
      <c r="M1512" s="83"/>
      <c r="N1512" s="83"/>
      <c r="O1512" s="83"/>
      <c r="P1512" s="83"/>
      <c r="Q1512" s="83"/>
      <c r="R1512" s="83"/>
      <c r="S1512" s="83"/>
      <c r="T1512" s="83"/>
      <c r="U1512" s="83"/>
      <c r="V1512" s="83"/>
      <c r="W1512" s="83"/>
      <c r="X1512" s="83"/>
      <c r="Y1512" s="83"/>
      <c r="Z1512" s="83"/>
      <c r="AA1512" s="83"/>
      <c r="AB1512" s="83"/>
      <c r="AC1512" s="83"/>
      <c r="AD1512" s="83"/>
      <c r="AE1512" s="83"/>
      <c r="AF1512" s="2"/>
    </row>
    <row r="1513" spans="1:33">
      <c r="G1513" s="9"/>
      <c r="H1513" s="84"/>
      <c r="I1513" s="84"/>
      <c r="J1513" s="84"/>
      <c r="K1513" s="84"/>
      <c r="L1513" s="84"/>
      <c r="M1513" s="84"/>
      <c r="N1513" s="84"/>
      <c r="O1513" s="84"/>
      <c r="P1513" s="84"/>
      <c r="Q1513" s="84"/>
      <c r="R1513" s="84"/>
      <c r="S1513" s="84"/>
      <c r="T1513" s="84"/>
      <c r="U1513" s="84"/>
      <c r="V1513" s="84"/>
      <c r="W1513" s="84"/>
      <c r="X1513" s="84"/>
      <c r="Y1513" s="84"/>
      <c r="Z1513" s="84"/>
      <c r="AA1513" s="84"/>
      <c r="AB1513" s="84"/>
      <c r="AC1513" s="84"/>
      <c r="AD1513" s="84"/>
      <c r="AE1513" s="84"/>
      <c r="AF1513" s="2"/>
    </row>
    <row r="1514" spans="1:33" ht="15" customHeight="1">
      <c r="A1514" s="3"/>
      <c r="B1514" s="11"/>
      <c r="C1514" s="11"/>
      <c r="D1514" s="11"/>
      <c r="E1514" s="27"/>
      <c r="F1514" s="6"/>
      <c r="G1514" s="19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  <c r="V1514" s="24"/>
      <c r="W1514" s="24"/>
      <c r="X1514" s="24"/>
      <c r="Y1514" s="24"/>
      <c r="Z1514" s="24"/>
      <c r="AA1514" s="24"/>
      <c r="AB1514" s="24"/>
      <c r="AC1514" s="24"/>
      <c r="AD1514" s="24"/>
      <c r="AE1514" s="24"/>
      <c r="AF1514" s="28"/>
      <c r="AG1514" s="11"/>
    </row>
    <row r="1515" spans="1:33">
      <c r="A1515" s="3"/>
      <c r="B1515" s="5"/>
      <c r="C1515" s="11"/>
      <c r="F1515" s="27"/>
      <c r="I1515" s="2"/>
      <c r="K1515" s="2"/>
      <c r="M1515" s="2"/>
      <c r="N1515" s="28"/>
      <c r="O1515" s="28"/>
      <c r="P1515" s="28"/>
      <c r="Q1515" s="28"/>
      <c r="R1515" s="28"/>
      <c r="S1515" s="28"/>
      <c r="T1515" s="28"/>
      <c r="U1515" s="28"/>
      <c r="V1515" s="28"/>
      <c r="W1515" s="28"/>
      <c r="X1515" s="28"/>
      <c r="Y1515" s="28"/>
      <c r="Z1515" s="28"/>
      <c r="AA1515" s="28"/>
      <c r="AB1515" s="28"/>
      <c r="AC1515" s="28"/>
      <c r="AD1515" s="28"/>
      <c r="AE1515" s="28"/>
      <c r="AF1515" s="28"/>
      <c r="AG1515" s="11"/>
    </row>
    <row r="1516" spans="1:33">
      <c r="A1516" s="3"/>
      <c r="C1516" s="11"/>
      <c r="D1516" s="2"/>
      <c r="F1516" s="27"/>
      <c r="G1516" s="2"/>
      <c r="I1516" s="2"/>
      <c r="K1516" s="2"/>
      <c r="M1516" s="2"/>
      <c r="N1516" s="28"/>
      <c r="O1516" s="28"/>
      <c r="P1516" s="28"/>
      <c r="Q1516" s="28"/>
      <c r="R1516" s="28"/>
      <c r="S1516" s="28"/>
      <c r="T1516" s="28"/>
      <c r="U1516" s="28"/>
      <c r="V1516" s="28"/>
      <c r="W1516" s="28"/>
      <c r="X1516" s="28"/>
      <c r="Y1516" s="28"/>
      <c r="Z1516" s="28"/>
      <c r="AA1516" s="28"/>
      <c r="AB1516" s="28"/>
      <c r="AC1516" s="28"/>
      <c r="AD1516" s="28"/>
      <c r="AE1516" s="28"/>
      <c r="AF1516" s="28"/>
      <c r="AG1516" s="11"/>
    </row>
    <row r="1517" spans="1:33">
      <c r="C1517" s="11"/>
      <c r="G1517" s="98"/>
      <c r="H1517" s="97"/>
      <c r="I1517" s="97"/>
      <c r="J1517" s="97"/>
      <c r="K1517" s="97"/>
      <c r="L1517" s="97"/>
      <c r="M1517" s="97"/>
      <c r="N1517" s="97"/>
      <c r="O1517" s="97"/>
      <c r="P1517" s="97"/>
      <c r="Q1517" s="97"/>
      <c r="R1517" s="97"/>
      <c r="S1517" s="97"/>
      <c r="T1517" s="97"/>
      <c r="U1517" s="97"/>
      <c r="V1517" s="97"/>
      <c r="W1517" s="97"/>
      <c r="X1517" s="97"/>
      <c r="Y1517" s="97"/>
      <c r="Z1517" s="97"/>
      <c r="AA1517" s="97"/>
      <c r="AB1517" s="97"/>
      <c r="AC1517" s="97"/>
      <c r="AD1517" s="97"/>
      <c r="AE1517" s="97"/>
      <c r="AF1517" s="28"/>
      <c r="AG1517" s="11"/>
    </row>
    <row r="1518" spans="1:33">
      <c r="B1518" s="24"/>
      <c r="D1518" s="2"/>
      <c r="E1518" s="99"/>
      <c r="AF1518" s="28"/>
      <c r="AG1518" s="11"/>
    </row>
    <row r="1519" spans="1:33">
      <c r="C1519" s="11"/>
      <c r="D1519" s="24"/>
      <c r="G1519" s="97"/>
      <c r="H1519" s="97"/>
      <c r="I1519" s="97"/>
      <c r="J1519" s="97"/>
      <c r="K1519" s="97"/>
      <c r="L1519" s="97"/>
      <c r="M1519" s="97"/>
      <c r="N1519" s="97"/>
      <c r="O1519" s="97"/>
      <c r="P1519" s="97"/>
      <c r="Q1519" s="97"/>
      <c r="R1519" s="97"/>
      <c r="S1519" s="97"/>
      <c r="T1519" s="97"/>
      <c r="U1519" s="97"/>
      <c r="V1519" s="97"/>
      <c r="W1519" s="97"/>
      <c r="X1519" s="97"/>
      <c r="Y1519" s="97"/>
      <c r="Z1519" s="97"/>
      <c r="AA1519" s="97"/>
      <c r="AB1519" s="97"/>
      <c r="AC1519" s="97"/>
      <c r="AD1519" s="97"/>
      <c r="AE1519" s="97"/>
      <c r="AF1519" s="28"/>
      <c r="AG1519" s="11"/>
    </row>
    <row r="1520" spans="1:33">
      <c r="B1520" s="24"/>
      <c r="C1520" s="27"/>
      <c r="D1520" s="24"/>
      <c r="F1520" s="27"/>
      <c r="AF1520" s="28"/>
      <c r="AG1520" s="11"/>
    </row>
    <row r="1521" spans="1:33">
      <c r="A1521" s="20"/>
      <c r="B1521" s="11"/>
      <c r="C1521" s="11"/>
      <c r="D1521" s="11"/>
      <c r="E1521" s="27"/>
      <c r="F1521" s="6"/>
      <c r="G1521" s="19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  <c r="V1521" s="24"/>
      <c r="W1521" s="24"/>
      <c r="X1521" s="24"/>
      <c r="Y1521" s="24"/>
      <c r="Z1521" s="24"/>
      <c r="AA1521" s="24"/>
      <c r="AB1521" s="24"/>
      <c r="AC1521" s="24"/>
      <c r="AD1521" s="24"/>
      <c r="AE1521" s="24"/>
      <c r="AF1521" s="28"/>
      <c r="AG1521" s="11"/>
    </row>
    <row r="1522" spans="1:33">
      <c r="A1522" s="20"/>
      <c r="B1522" s="24"/>
      <c r="C1522" s="11"/>
      <c r="G1522" s="27"/>
      <c r="H1522" s="2"/>
      <c r="M1522" s="28"/>
      <c r="O1522" s="28"/>
      <c r="P1522" s="28"/>
      <c r="Q1522" s="11"/>
      <c r="R1522" s="28"/>
      <c r="S1522" s="28"/>
      <c r="T1522" s="28"/>
      <c r="U1522" s="28"/>
      <c r="V1522" s="28"/>
      <c r="W1522" s="28"/>
      <c r="X1522" s="28"/>
      <c r="Y1522" s="28"/>
      <c r="Z1522" s="28"/>
      <c r="AA1522" s="28"/>
      <c r="AB1522" s="28"/>
      <c r="AC1522" s="28"/>
      <c r="AD1522" s="28"/>
      <c r="AE1522" s="28"/>
      <c r="AF1522" s="28"/>
      <c r="AG1522" s="11"/>
    </row>
    <row r="1523" spans="1:33">
      <c r="B1523" s="5"/>
      <c r="C1523" s="11"/>
      <c r="D1523" s="5"/>
      <c r="G1523" s="97"/>
      <c r="H1523" s="97"/>
      <c r="I1523" s="97"/>
      <c r="J1523" s="97"/>
      <c r="K1523" s="97"/>
      <c r="L1523" s="97"/>
      <c r="M1523" s="97"/>
      <c r="N1523" s="97"/>
      <c r="O1523" s="97"/>
      <c r="P1523" s="97"/>
      <c r="Q1523" s="97"/>
      <c r="R1523" s="97"/>
      <c r="S1523" s="97"/>
      <c r="T1523" s="97"/>
      <c r="U1523" s="97"/>
      <c r="V1523" s="97"/>
      <c r="W1523" s="97"/>
      <c r="X1523" s="97"/>
      <c r="Y1523" s="97"/>
      <c r="Z1523" s="97"/>
      <c r="AA1523" s="97"/>
      <c r="AB1523" s="97"/>
      <c r="AC1523" s="97"/>
      <c r="AD1523" s="97"/>
      <c r="AE1523" s="97"/>
      <c r="AF1523" s="28"/>
      <c r="AG1523" s="11"/>
    </row>
    <row r="1524" spans="1:33">
      <c r="B1524" s="5"/>
      <c r="C1524" s="11"/>
      <c r="D1524" s="5"/>
      <c r="G1524" s="97"/>
      <c r="H1524" s="97"/>
      <c r="I1524" s="97"/>
      <c r="J1524" s="97"/>
      <c r="K1524" s="97"/>
      <c r="L1524" s="97"/>
      <c r="M1524" s="97"/>
      <c r="N1524" s="97"/>
      <c r="O1524" s="97"/>
      <c r="P1524" s="97"/>
      <c r="Q1524" s="97"/>
      <c r="R1524" s="97"/>
      <c r="S1524" s="97"/>
      <c r="T1524" s="97"/>
      <c r="U1524" s="97"/>
      <c r="V1524" s="97"/>
      <c r="W1524" s="97"/>
      <c r="X1524" s="97"/>
      <c r="Y1524" s="97"/>
      <c r="Z1524" s="97"/>
      <c r="AA1524" s="97"/>
      <c r="AB1524" s="97"/>
      <c r="AC1524" s="97"/>
      <c r="AD1524" s="97"/>
      <c r="AE1524" s="97"/>
      <c r="AF1524" s="28"/>
      <c r="AG1524" s="11"/>
    </row>
    <row r="1525" spans="1:33">
      <c r="A1525" s="20"/>
      <c r="B1525" s="5"/>
      <c r="C1525" s="11"/>
      <c r="G1525" s="19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  <c r="AE1525" s="24"/>
      <c r="AF1525" s="28"/>
      <c r="AG1525" s="11"/>
    </row>
    <row r="1526" spans="1:33">
      <c r="A1526" s="20"/>
      <c r="B1526" s="24"/>
      <c r="C1526" s="11"/>
      <c r="G1526" s="19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  <c r="AE1526" s="24"/>
      <c r="AF1526" s="28"/>
      <c r="AG1526" s="11"/>
    </row>
    <row r="1527" spans="1:33">
      <c r="A1527" s="100"/>
      <c r="B1527" s="5"/>
      <c r="C1527" s="11"/>
      <c r="G1527" s="19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8"/>
      <c r="AG1527" s="11"/>
    </row>
    <row r="1528" spans="1:33">
      <c r="A1528" s="100"/>
      <c r="B1528" s="24"/>
      <c r="C1528" s="11"/>
      <c r="G1528" s="19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8"/>
      <c r="AG1528" s="11"/>
    </row>
    <row r="1529" spans="1:33">
      <c r="A1529" s="20"/>
      <c r="B1529" s="11"/>
      <c r="C1529" s="11"/>
      <c r="D1529" s="11"/>
      <c r="E1529" s="27"/>
      <c r="F1529" s="6"/>
      <c r="G1529" s="19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  <c r="AA1529" s="24"/>
      <c r="AB1529" s="24"/>
      <c r="AC1529" s="24"/>
      <c r="AD1529" s="24"/>
      <c r="AE1529" s="24"/>
      <c r="AF1529" s="28"/>
      <c r="AG1529" s="11"/>
    </row>
    <row r="1530" spans="1:33">
      <c r="A1530" s="20"/>
      <c r="B1530" s="5"/>
      <c r="C1530" s="11"/>
      <c r="E1530" s="2"/>
      <c r="G1530" s="2"/>
      <c r="I1530" s="11"/>
      <c r="J1530" s="28"/>
      <c r="K1530" s="2"/>
      <c r="L1530" s="12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W1530" s="28"/>
      <c r="X1530" s="28"/>
      <c r="Y1530" s="28"/>
      <c r="Z1530" s="28"/>
      <c r="AA1530" s="28"/>
      <c r="AB1530" s="28"/>
      <c r="AC1530" s="28"/>
      <c r="AD1530" s="28"/>
      <c r="AE1530" s="28"/>
      <c r="AF1530" s="28"/>
      <c r="AG1530" s="11"/>
    </row>
    <row r="1531" spans="1:33">
      <c r="B1531" s="12"/>
      <c r="E1531" s="12"/>
      <c r="F1531" s="6"/>
      <c r="G1531" s="32"/>
      <c r="H1531" s="33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</row>
    <row r="1532" spans="1:33">
      <c r="B1532" s="11"/>
      <c r="C1532" s="14"/>
      <c r="E1532" s="12"/>
      <c r="F1532" s="6"/>
      <c r="G1532" s="32"/>
      <c r="H1532" s="33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</row>
    <row r="1533" spans="1:33">
      <c r="A1533" s="20"/>
      <c r="B1533" s="11"/>
      <c r="C1533" s="11"/>
      <c r="D1533" s="11"/>
      <c r="E1533" s="27"/>
      <c r="F1533" s="6"/>
      <c r="G1533" s="19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  <c r="V1533" s="24"/>
      <c r="W1533" s="24"/>
      <c r="X1533" s="24"/>
      <c r="Y1533" s="24"/>
      <c r="Z1533" s="24"/>
      <c r="AA1533" s="24"/>
      <c r="AB1533" s="24"/>
      <c r="AC1533" s="24"/>
      <c r="AD1533" s="24"/>
      <c r="AE1533" s="24"/>
      <c r="AF1533" s="28"/>
      <c r="AG1533" s="11"/>
    </row>
    <row r="1534" spans="1:33">
      <c r="A1534" s="20"/>
      <c r="B1534" s="5"/>
      <c r="C1534" s="11"/>
      <c r="E1534" s="27"/>
      <c r="F1534" s="6"/>
      <c r="G1534" s="28"/>
      <c r="I1534" s="29"/>
      <c r="J1534" s="11"/>
      <c r="K1534" s="2"/>
      <c r="L1534" s="11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28"/>
      <c r="AF1534" s="28"/>
      <c r="AG1534" s="11"/>
    </row>
    <row r="1535" spans="1:33">
      <c r="A1535" s="20"/>
      <c r="B1535" s="16"/>
      <c r="C1535" s="11"/>
      <c r="D1535" s="11"/>
      <c r="E1535" s="27"/>
      <c r="F1535" s="6"/>
      <c r="G1535" s="32"/>
      <c r="H1535" s="33"/>
      <c r="I1535" s="29"/>
      <c r="J1535" s="28"/>
      <c r="K1535" s="11"/>
      <c r="L1535" s="11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W1535" s="28"/>
      <c r="X1535" s="28"/>
      <c r="Y1535" s="28"/>
      <c r="Z1535" s="28"/>
      <c r="AA1535" s="28"/>
      <c r="AB1535" s="28"/>
      <c r="AC1535" s="28"/>
      <c r="AD1535" s="28"/>
      <c r="AE1535" s="28"/>
      <c r="AF1535" s="28"/>
      <c r="AG1535" s="11"/>
    </row>
    <row r="1536" spans="1:33">
      <c r="A1536" s="20"/>
      <c r="B1536" s="16"/>
      <c r="G1536" s="32"/>
      <c r="H1536" s="33"/>
      <c r="I1536" s="86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</row>
    <row r="1537" spans="1:32">
      <c r="A1537" s="39"/>
    </row>
    <row r="1538" spans="1:32">
      <c r="A1538" s="3"/>
      <c r="E1538" s="12"/>
      <c r="F1538" s="6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</row>
    <row r="1539" spans="1:32"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</row>
    <row r="1540" spans="1:32">
      <c r="G1540" s="9"/>
      <c r="H1540" s="84"/>
      <c r="I1540" s="84"/>
      <c r="J1540" s="84"/>
      <c r="K1540" s="84"/>
      <c r="L1540" s="84"/>
      <c r="M1540" s="84"/>
      <c r="N1540" s="84"/>
      <c r="O1540" s="84"/>
      <c r="P1540" s="84"/>
      <c r="Q1540" s="84"/>
      <c r="R1540" s="84"/>
      <c r="S1540" s="84"/>
      <c r="T1540" s="84"/>
      <c r="U1540" s="84"/>
      <c r="V1540" s="84"/>
      <c r="W1540" s="84"/>
      <c r="X1540" s="84"/>
      <c r="Y1540" s="84"/>
      <c r="Z1540" s="84"/>
      <c r="AA1540" s="84"/>
      <c r="AB1540" s="84"/>
      <c r="AC1540" s="84"/>
      <c r="AD1540" s="84"/>
      <c r="AE1540" s="84"/>
      <c r="AF1540" s="2"/>
    </row>
    <row r="1541" spans="1:32">
      <c r="A1541" s="3"/>
      <c r="G1541" s="19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  <c r="V1541" s="24"/>
      <c r="W1541" s="24"/>
      <c r="X1541" s="24"/>
      <c r="Y1541" s="24"/>
      <c r="Z1541" s="24"/>
      <c r="AA1541" s="24"/>
      <c r="AB1541" s="24"/>
      <c r="AC1541" s="24"/>
      <c r="AD1541" s="24"/>
      <c r="AE1541" s="24"/>
      <c r="AF1541" s="2"/>
    </row>
    <row r="1542" spans="1:32">
      <c r="C1542" s="5"/>
      <c r="J1542" s="2"/>
      <c r="K1542" s="2"/>
      <c r="L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</row>
    <row r="1543" spans="1:32">
      <c r="A1543" s="20"/>
      <c r="G1543" s="19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</row>
    <row r="1544" spans="1:32">
      <c r="B1544" s="5"/>
      <c r="C1544" s="11"/>
      <c r="E1544" s="12"/>
      <c r="F1544" s="18"/>
      <c r="G1544" s="19"/>
      <c r="H1544" s="2"/>
      <c r="I1544" s="2"/>
      <c r="J1544" s="2"/>
      <c r="K1544" s="9"/>
      <c r="AF1544" s="2"/>
    </row>
    <row r="1545" spans="1:32">
      <c r="A1545" s="11"/>
      <c r="C1545" s="11"/>
      <c r="E1545" s="12"/>
      <c r="F1545" s="18"/>
      <c r="G1545" s="2"/>
      <c r="H1545" s="2"/>
      <c r="J1545" s="11"/>
      <c r="AF1545" s="2"/>
    </row>
    <row r="1546" spans="1:32">
      <c r="A1546" s="11"/>
      <c r="C1546" s="11"/>
      <c r="E1546" s="12"/>
      <c r="F1546" s="18"/>
      <c r="G1546" s="19"/>
      <c r="H1546" s="2"/>
      <c r="I1546" s="12"/>
      <c r="K1546" s="11"/>
      <c r="AF1546" s="2"/>
    </row>
    <row r="1547" spans="1:32">
      <c r="A1547" s="11"/>
      <c r="B1547" s="2"/>
      <c r="C1547" s="11"/>
      <c r="E1547" s="12"/>
      <c r="F1547" s="18"/>
      <c r="G1547" s="19"/>
      <c r="H1547" s="2"/>
      <c r="I1547" s="12"/>
      <c r="K1547" s="11"/>
      <c r="AF1547" s="2"/>
    </row>
    <row r="1548" spans="1:32">
      <c r="A1548" s="20"/>
      <c r="G1548" s="19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</row>
    <row r="1549" spans="1:32">
      <c r="A1549" s="14"/>
      <c r="B1549" s="5"/>
      <c r="G1549" s="2"/>
      <c r="H1549" s="2"/>
      <c r="I1549" s="2"/>
      <c r="J1549" s="10"/>
      <c r="K1549" s="9"/>
      <c r="AF1549" s="2"/>
    </row>
    <row r="1550" spans="1:32">
      <c r="A1550" s="11"/>
      <c r="C1550" s="11"/>
      <c r="E1550" s="12"/>
      <c r="F1550" s="18"/>
      <c r="G1550" s="2"/>
      <c r="H1550" s="2"/>
      <c r="J1550" s="11"/>
      <c r="M1550" s="10"/>
      <c r="N1550" s="10"/>
      <c r="AF1550" s="2"/>
    </row>
    <row r="1551" spans="1:32">
      <c r="A1551" s="11"/>
      <c r="C1551" s="11"/>
      <c r="E1551" s="12"/>
      <c r="F1551" s="18"/>
      <c r="G1551" s="19"/>
      <c r="H1551" s="2"/>
      <c r="J1551" s="11"/>
      <c r="M1551" s="10"/>
      <c r="N1551" s="10"/>
      <c r="AF1551" s="2"/>
    </row>
    <row r="1552" spans="1:32">
      <c r="A1552" s="20"/>
      <c r="G1552" s="19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  <c r="V1552" s="24"/>
      <c r="W1552" s="24"/>
      <c r="X1552" s="24"/>
      <c r="Y1552" s="24"/>
      <c r="Z1552" s="24"/>
      <c r="AA1552" s="24"/>
      <c r="AB1552" s="24"/>
      <c r="AC1552" s="24"/>
      <c r="AD1552" s="24"/>
      <c r="AE1552" s="24"/>
      <c r="AF1552" s="2"/>
    </row>
    <row r="1553" spans="1:33">
      <c r="A1553" s="22"/>
      <c r="B1553" s="5"/>
      <c r="C1553" s="11"/>
      <c r="E1553" s="27"/>
      <c r="F1553" s="6"/>
      <c r="G1553" s="28"/>
      <c r="I1553" s="29"/>
      <c r="J1553" s="11"/>
      <c r="K1553" s="2"/>
      <c r="L1553" s="11"/>
      <c r="M1553" s="28"/>
      <c r="AF1553" s="2"/>
    </row>
    <row r="1554" spans="1:33">
      <c r="A1554" s="20"/>
      <c r="G1554" s="19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</row>
    <row r="1555" spans="1:33">
      <c r="A1555" s="14"/>
      <c r="B1555" s="5"/>
      <c r="E1555" s="12"/>
      <c r="F1555" s="6"/>
      <c r="G1555" s="2"/>
      <c r="I1555" s="2"/>
      <c r="J1555" s="10"/>
      <c r="K1555" s="9"/>
      <c r="AF1555" s="2"/>
    </row>
    <row r="1556" spans="1:33">
      <c r="A1556" s="20"/>
      <c r="G1556" s="19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</row>
    <row r="1557" spans="1:33">
      <c r="A1557" s="14"/>
      <c r="E1557" s="30"/>
      <c r="H1557" s="2"/>
      <c r="I1557" s="2"/>
      <c r="J1557" s="2"/>
      <c r="K1557" s="9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</row>
    <row r="1558" spans="1:33">
      <c r="A1558" s="3"/>
      <c r="B1558" s="16"/>
      <c r="E1558" s="12"/>
      <c r="F1558" s="6"/>
      <c r="G1558" s="32"/>
      <c r="H1558" s="2"/>
      <c r="I1558" s="29"/>
      <c r="K1558" s="10"/>
      <c r="L1558" s="3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</row>
    <row r="1559" spans="1:33">
      <c r="A1559" s="20"/>
      <c r="B1559" s="16"/>
      <c r="E1559" s="30"/>
      <c r="F1559" s="6"/>
      <c r="G1559" s="32"/>
      <c r="H1559" s="33"/>
      <c r="I1559" s="86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</row>
    <row r="1560" spans="1:33">
      <c r="A1560" s="39"/>
    </row>
    <row r="1561" spans="1:33">
      <c r="A1561" s="3"/>
      <c r="B1561" s="16"/>
      <c r="C1561" s="11"/>
      <c r="D1561" s="11"/>
      <c r="E1561" s="21"/>
      <c r="F1561" s="21"/>
      <c r="G1561" s="82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  <c r="AE1561" s="24"/>
      <c r="AF1561" s="28"/>
      <c r="AG1561" s="11"/>
    </row>
    <row r="1562" spans="1:33"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</row>
    <row r="1563" spans="1:33">
      <c r="G1563" s="9"/>
      <c r="H1563" s="84"/>
      <c r="I1563" s="84"/>
      <c r="J1563" s="84"/>
      <c r="K1563" s="84"/>
      <c r="L1563" s="84"/>
      <c r="M1563" s="84"/>
      <c r="N1563" s="84"/>
      <c r="O1563" s="84"/>
      <c r="P1563" s="84"/>
      <c r="Q1563" s="84"/>
      <c r="R1563" s="84"/>
      <c r="S1563" s="84"/>
      <c r="T1563" s="84"/>
      <c r="U1563" s="84"/>
      <c r="V1563" s="84"/>
      <c r="W1563" s="84"/>
      <c r="X1563" s="84"/>
      <c r="Y1563" s="84"/>
      <c r="Z1563" s="84"/>
      <c r="AA1563" s="84"/>
      <c r="AB1563" s="84"/>
      <c r="AC1563" s="84"/>
      <c r="AD1563" s="84"/>
      <c r="AE1563" s="84"/>
      <c r="AF1563" s="2"/>
    </row>
    <row r="1564" spans="1:33">
      <c r="A1564" s="3"/>
      <c r="G1564" s="19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  <c r="V1564" s="24"/>
      <c r="W1564" s="24"/>
      <c r="X1564" s="24"/>
      <c r="Y1564" s="24"/>
      <c r="Z1564" s="24"/>
      <c r="AA1564" s="24"/>
      <c r="AB1564" s="24"/>
      <c r="AC1564" s="24"/>
      <c r="AD1564" s="24"/>
      <c r="AE1564" s="24"/>
      <c r="AF1564" s="28"/>
      <c r="AG1564" s="11"/>
    </row>
    <row r="1565" spans="1:33">
      <c r="B1565" s="5"/>
      <c r="J1565" s="2"/>
      <c r="K1565" s="2"/>
      <c r="L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</row>
    <row r="1566" spans="1:33">
      <c r="A1566" s="20"/>
      <c r="B1566" s="11"/>
      <c r="C1566" s="11"/>
      <c r="E1566" s="14"/>
      <c r="F1566" s="31"/>
      <c r="G1566" s="19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8"/>
      <c r="AG1566" s="11"/>
    </row>
    <row r="1567" spans="1:33">
      <c r="A1567" s="3"/>
      <c r="B1567" s="5"/>
      <c r="C1567" s="11"/>
      <c r="F1567" s="27"/>
      <c r="G1567" s="2"/>
      <c r="H1567" s="2"/>
      <c r="I1567" s="2"/>
      <c r="J1567" s="2"/>
      <c r="K1567" s="2"/>
      <c r="M1567" s="2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/>
      <c r="Y1567" s="28"/>
      <c r="Z1567" s="28"/>
      <c r="AA1567" s="28"/>
      <c r="AB1567" s="28"/>
      <c r="AC1567" s="28"/>
      <c r="AD1567" s="28"/>
      <c r="AE1567" s="28"/>
      <c r="AF1567" s="28"/>
      <c r="AG1567" s="11"/>
    </row>
    <row r="1568" spans="1:33">
      <c r="A1568" s="11"/>
      <c r="C1568" s="11"/>
      <c r="E1568" s="12"/>
      <c r="F1568" s="18"/>
      <c r="G1568" s="2"/>
      <c r="H1568" s="2"/>
      <c r="J1568" s="11"/>
      <c r="AF1568" s="2"/>
    </row>
    <row r="1569" spans="1:33">
      <c r="A1569" s="11"/>
      <c r="C1569" s="11"/>
      <c r="E1569" s="12"/>
      <c r="F1569" s="18"/>
      <c r="G1569" s="19"/>
      <c r="H1569" s="2"/>
      <c r="I1569" s="12"/>
      <c r="K1569" s="11"/>
      <c r="AF1569" s="2"/>
    </row>
    <row r="1570" spans="1:33">
      <c r="A1570" s="11"/>
      <c r="B1570" s="2"/>
      <c r="C1570" s="11"/>
      <c r="E1570" s="12"/>
      <c r="F1570" s="18"/>
      <c r="G1570" s="19"/>
      <c r="H1570" s="2"/>
      <c r="I1570" s="12"/>
      <c r="K1570" s="11"/>
      <c r="AF1570" s="2"/>
    </row>
    <row r="1571" spans="1:33">
      <c r="A1571" s="20"/>
      <c r="G1571" s="19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  <c r="V1571" s="24"/>
      <c r="W1571" s="24"/>
      <c r="X1571" s="24"/>
      <c r="Y1571" s="24"/>
      <c r="Z1571" s="24"/>
      <c r="AA1571" s="24"/>
      <c r="AB1571" s="24"/>
      <c r="AC1571" s="24"/>
      <c r="AD1571" s="24"/>
      <c r="AE1571" s="24"/>
      <c r="AF1571" s="2"/>
    </row>
    <row r="1572" spans="1:33">
      <c r="A1572" s="22"/>
      <c r="B1572" s="5"/>
      <c r="C1572" s="11"/>
      <c r="E1572" s="27"/>
      <c r="F1572" s="6"/>
      <c r="G1572" s="28"/>
      <c r="I1572" s="29"/>
      <c r="J1572" s="11"/>
      <c r="K1572" s="2"/>
      <c r="L1572" s="11"/>
      <c r="M1572" s="28"/>
      <c r="AF1572" s="2"/>
    </row>
    <row r="1573" spans="1:33">
      <c r="A1573" s="20"/>
      <c r="B1573" s="11"/>
      <c r="C1573" s="11"/>
      <c r="D1573" s="24"/>
      <c r="E1573" s="27"/>
      <c r="F1573" s="6"/>
      <c r="G1573" s="19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8"/>
      <c r="AG1573" s="11"/>
    </row>
    <row r="1574" spans="1:33">
      <c r="A1574" s="14"/>
      <c r="B1574" s="5"/>
      <c r="E1574" s="12"/>
      <c r="F1574" s="6"/>
      <c r="G1574" s="2"/>
      <c r="H1574" s="2"/>
      <c r="J1574" s="10"/>
      <c r="K1574" s="9"/>
      <c r="AF1574" s="2"/>
    </row>
    <row r="1575" spans="1:33">
      <c r="A1575" s="20"/>
      <c r="B1575" s="16"/>
      <c r="C1575" s="11"/>
      <c r="D1575" s="11"/>
      <c r="E1575" s="21"/>
      <c r="F1575" s="21"/>
      <c r="G1575" s="82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  <c r="V1575" s="24"/>
      <c r="W1575" s="24"/>
      <c r="X1575" s="24"/>
      <c r="Y1575" s="24"/>
      <c r="Z1575" s="24"/>
      <c r="AA1575" s="24"/>
      <c r="AB1575" s="24"/>
      <c r="AC1575" s="24"/>
      <c r="AD1575" s="24"/>
      <c r="AE1575" s="24"/>
      <c r="AF1575" s="28"/>
      <c r="AG1575" s="11"/>
    </row>
    <row r="1576" spans="1:33">
      <c r="A1576" s="20"/>
      <c r="B1576" s="16"/>
      <c r="C1576" s="11"/>
      <c r="D1576" s="11"/>
      <c r="E1576" s="21"/>
      <c r="F1576" s="21"/>
      <c r="G1576" s="82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  <c r="V1576" s="24"/>
      <c r="W1576" s="24"/>
      <c r="X1576" s="24"/>
      <c r="Y1576" s="24"/>
      <c r="Z1576" s="24"/>
      <c r="AA1576" s="24"/>
      <c r="AB1576" s="24"/>
      <c r="AC1576" s="24"/>
      <c r="AD1576" s="24"/>
      <c r="AE1576" s="24"/>
      <c r="AF1576" s="28"/>
      <c r="AG1576" s="11"/>
    </row>
    <row r="1578" spans="1:33">
      <c r="A1578" s="39"/>
      <c r="B1578" s="16"/>
      <c r="G1578" s="32"/>
      <c r="H1578" s="33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</row>
    <row r="1579" spans="1:33">
      <c r="A1579" s="3"/>
      <c r="B1579" s="16"/>
      <c r="C1579" s="11"/>
      <c r="D1579" s="11"/>
      <c r="E1579" s="27"/>
      <c r="F1579" s="6"/>
      <c r="G1579" s="32"/>
      <c r="H1579" s="33"/>
      <c r="I1579" s="29"/>
      <c r="J1579" s="28"/>
      <c r="K1579" s="11"/>
      <c r="L1579" s="11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W1579" s="28"/>
      <c r="X1579" s="28"/>
      <c r="Y1579" s="28"/>
      <c r="Z1579" s="28"/>
      <c r="AA1579" s="28"/>
      <c r="AB1579" s="28"/>
      <c r="AC1579" s="28"/>
      <c r="AD1579" s="28"/>
      <c r="AE1579" s="28"/>
      <c r="AF1579" s="28"/>
      <c r="AG1579" s="11"/>
    </row>
    <row r="1580" spans="1:33"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</row>
    <row r="1581" spans="1:33">
      <c r="G1581" s="9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2"/>
    </row>
    <row r="1582" spans="1:33" ht="15" customHeight="1">
      <c r="A1582" s="3"/>
      <c r="B1582" s="11"/>
      <c r="C1582" s="11"/>
      <c r="D1582" s="11"/>
      <c r="E1582" s="27"/>
      <c r="F1582" s="6"/>
      <c r="G1582" s="19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  <c r="V1582" s="24"/>
      <c r="W1582" s="24"/>
      <c r="X1582" s="24"/>
      <c r="Y1582" s="24"/>
      <c r="Z1582" s="24"/>
      <c r="AA1582" s="24"/>
      <c r="AB1582" s="24"/>
      <c r="AC1582" s="24"/>
      <c r="AD1582" s="24"/>
      <c r="AE1582" s="24"/>
      <c r="AF1582" s="28"/>
      <c r="AG1582" s="11"/>
    </row>
    <row r="1583" spans="1:33">
      <c r="A1583" s="3"/>
      <c r="B1583" s="5"/>
      <c r="C1583" s="11"/>
      <c r="F1583" s="27"/>
      <c r="I1583" s="2"/>
      <c r="K1583" s="2"/>
      <c r="M1583" s="2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  <c r="Y1583" s="28"/>
      <c r="Z1583" s="28"/>
      <c r="AA1583" s="28"/>
      <c r="AB1583" s="28"/>
      <c r="AC1583" s="28"/>
      <c r="AD1583" s="28"/>
      <c r="AE1583" s="28"/>
      <c r="AF1583" s="28"/>
      <c r="AG1583" s="11"/>
    </row>
    <row r="1584" spans="1:33">
      <c r="A1584" s="3"/>
      <c r="C1584" s="11"/>
      <c r="D1584" s="2"/>
      <c r="F1584" s="27"/>
      <c r="G1584" s="2"/>
      <c r="I1584" s="2"/>
      <c r="K1584" s="2"/>
      <c r="M1584" s="2"/>
      <c r="N1584" s="28"/>
      <c r="O1584" s="28"/>
      <c r="P1584" s="28"/>
      <c r="Q1584" s="28"/>
      <c r="R1584" s="28"/>
      <c r="S1584" s="28"/>
      <c r="T1584" s="28"/>
      <c r="U1584" s="28"/>
      <c r="V1584" s="28"/>
      <c r="W1584" s="28"/>
      <c r="X1584" s="28"/>
      <c r="Y1584" s="28"/>
      <c r="Z1584" s="28"/>
      <c r="AA1584" s="28"/>
      <c r="AB1584" s="28"/>
      <c r="AC1584" s="28"/>
      <c r="AD1584" s="28"/>
      <c r="AE1584" s="28"/>
      <c r="AF1584" s="28"/>
      <c r="AG1584" s="11"/>
    </row>
    <row r="1585" spans="1:33">
      <c r="A1585" s="20"/>
      <c r="B1585" s="11"/>
      <c r="C1585" s="11"/>
      <c r="D1585" s="11"/>
      <c r="E1585" s="27"/>
      <c r="F1585" s="6"/>
      <c r="G1585" s="19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  <c r="V1585" s="24"/>
      <c r="W1585" s="24"/>
      <c r="X1585" s="24"/>
      <c r="Y1585" s="24"/>
      <c r="Z1585" s="24"/>
      <c r="AA1585" s="24"/>
      <c r="AB1585" s="24"/>
      <c r="AC1585" s="24"/>
      <c r="AD1585" s="24"/>
      <c r="AE1585" s="24"/>
      <c r="AF1585" s="28"/>
      <c r="AG1585" s="11"/>
    </row>
    <row r="1586" spans="1:33">
      <c r="A1586" s="20"/>
      <c r="B1586" s="5"/>
      <c r="C1586" s="11"/>
      <c r="F1586" s="27"/>
      <c r="G1586" s="6"/>
      <c r="H1586" s="2"/>
      <c r="M1586" s="28"/>
      <c r="O1586" s="28"/>
      <c r="P1586" s="28"/>
      <c r="Q1586" s="11"/>
      <c r="R1586" s="28"/>
      <c r="S1586" s="28"/>
      <c r="T1586" s="28"/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28"/>
      <c r="AE1586" s="28"/>
      <c r="AF1586" s="28"/>
      <c r="AG1586" s="11"/>
    </row>
    <row r="1587" spans="1:33">
      <c r="A1587" s="20"/>
      <c r="B1587" s="11"/>
      <c r="C1587" s="11"/>
      <c r="D1587" s="11"/>
      <c r="E1587" s="27"/>
      <c r="F1587" s="6"/>
      <c r="G1587" s="19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  <c r="V1587" s="24"/>
      <c r="W1587" s="24"/>
      <c r="X1587" s="24"/>
      <c r="Y1587" s="24"/>
      <c r="Z1587" s="24"/>
      <c r="AA1587" s="24"/>
      <c r="AB1587" s="24"/>
      <c r="AC1587" s="24"/>
      <c r="AD1587" s="24"/>
      <c r="AE1587" s="24"/>
      <c r="AF1587" s="28"/>
      <c r="AG1587" s="11"/>
    </row>
    <row r="1588" spans="1:33">
      <c r="A1588" s="20"/>
      <c r="B1588" s="5"/>
      <c r="C1588" s="11"/>
      <c r="E1588" s="27"/>
      <c r="F1588" s="6"/>
      <c r="G1588" s="28"/>
      <c r="I1588" s="29"/>
      <c r="J1588" s="11"/>
      <c r="K1588" s="2"/>
      <c r="L1588" s="11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28"/>
      <c r="AF1588" s="28"/>
      <c r="AG1588" s="11"/>
    </row>
    <row r="1589" spans="1:33">
      <c r="A1589" s="20"/>
      <c r="B1589" s="11"/>
      <c r="C1589" s="11"/>
      <c r="D1589" s="11"/>
      <c r="E1589" s="27"/>
      <c r="F1589" s="6"/>
      <c r="G1589" s="19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  <c r="AE1589" s="24"/>
      <c r="AF1589" s="28"/>
      <c r="AG1589" s="11"/>
    </row>
    <row r="1590" spans="1:33">
      <c r="A1590" s="20"/>
      <c r="B1590" s="5"/>
      <c r="C1590" s="11"/>
      <c r="E1590" s="2"/>
      <c r="G1590" s="2"/>
      <c r="I1590" s="11"/>
      <c r="J1590" s="28"/>
      <c r="K1590" s="2"/>
      <c r="L1590" s="12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28"/>
      <c r="AE1590" s="28"/>
      <c r="AF1590" s="28"/>
      <c r="AG1590" s="11"/>
    </row>
    <row r="1591" spans="1:33">
      <c r="A1591" s="20"/>
      <c r="B1591" s="16"/>
      <c r="C1591" s="11"/>
      <c r="D1591" s="11"/>
      <c r="E1591" s="27"/>
      <c r="F1591" s="6"/>
      <c r="G1591" s="32"/>
      <c r="H1591" s="33"/>
      <c r="I1591" s="29"/>
      <c r="J1591" s="28"/>
      <c r="K1591" s="11"/>
      <c r="L1591" s="11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28"/>
      <c r="AE1591" s="28"/>
      <c r="AF1591" s="28"/>
      <c r="AG1591" s="11"/>
    </row>
    <row r="1592" spans="1:33">
      <c r="A1592" s="20"/>
      <c r="B1592" s="16"/>
      <c r="G1592" s="32"/>
      <c r="H1592" s="33"/>
      <c r="I1592" s="86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</row>
    <row r="1593" spans="1:33">
      <c r="A1593" s="39"/>
      <c r="B1593" s="16"/>
      <c r="E1593" s="30"/>
      <c r="F1593" s="6"/>
      <c r="G1593" s="32"/>
      <c r="H1593" s="33"/>
      <c r="I1593" s="3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</row>
    <row r="1594" spans="1:33">
      <c r="A1594" s="3"/>
      <c r="E1594" s="12"/>
      <c r="F1594" s="6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</row>
    <row r="1595" spans="1:33"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</row>
    <row r="1596" spans="1:33">
      <c r="G1596" s="9"/>
      <c r="H1596" s="84"/>
      <c r="I1596" s="84"/>
      <c r="J1596" s="84"/>
      <c r="K1596" s="84"/>
      <c r="L1596" s="84"/>
      <c r="M1596" s="84"/>
      <c r="N1596" s="84"/>
      <c r="O1596" s="84"/>
      <c r="P1596" s="84"/>
      <c r="Q1596" s="84"/>
      <c r="R1596" s="84"/>
      <c r="S1596" s="84"/>
      <c r="T1596" s="84"/>
      <c r="U1596" s="84"/>
      <c r="V1596" s="84"/>
      <c r="W1596" s="84"/>
      <c r="X1596" s="84"/>
      <c r="Y1596" s="84"/>
      <c r="Z1596" s="84"/>
      <c r="AA1596" s="84"/>
      <c r="AB1596" s="84"/>
      <c r="AC1596" s="84"/>
      <c r="AD1596" s="84"/>
      <c r="AE1596" s="84"/>
      <c r="AF1596" s="2"/>
    </row>
    <row r="1597" spans="1:33">
      <c r="A1597" s="3"/>
      <c r="G1597" s="19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  <c r="V1597" s="24"/>
      <c r="W1597" s="24"/>
      <c r="X1597" s="24"/>
      <c r="Y1597" s="24"/>
      <c r="Z1597" s="24"/>
      <c r="AA1597" s="24"/>
      <c r="AB1597" s="24"/>
      <c r="AC1597" s="24"/>
      <c r="AD1597" s="24"/>
      <c r="AE1597" s="24"/>
      <c r="AF1597" s="2"/>
    </row>
    <row r="1598" spans="1:33">
      <c r="C1598" s="5"/>
      <c r="J1598" s="2"/>
      <c r="K1598" s="2"/>
      <c r="L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</row>
    <row r="1599" spans="1:33">
      <c r="A1599" s="20"/>
      <c r="G1599" s="19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</row>
    <row r="1600" spans="1:33">
      <c r="B1600" s="5"/>
      <c r="C1600" s="11"/>
      <c r="E1600" s="12"/>
      <c r="F1600" s="18"/>
      <c r="G1600" s="19"/>
      <c r="H1600" s="2"/>
      <c r="I1600" s="2"/>
      <c r="J1600" s="2"/>
      <c r="K1600" s="9"/>
      <c r="AF1600" s="2"/>
    </row>
    <row r="1601" spans="1:33">
      <c r="A1601" s="11"/>
      <c r="C1601" s="11"/>
      <c r="E1601" s="12"/>
      <c r="F1601" s="18"/>
      <c r="G1601" s="2"/>
      <c r="H1601" s="2"/>
      <c r="J1601" s="11"/>
      <c r="AF1601" s="2"/>
    </row>
    <row r="1602" spans="1:33">
      <c r="A1602" s="11"/>
      <c r="C1602" s="11"/>
      <c r="E1602" s="12"/>
      <c r="F1602" s="18"/>
      <c r="G1602" s="19"/>
      <c r="H1602" s="2"/>
      <c r="I1602" s="12"/>
      <c r="K1602" s="11"/>
      <c r="AF1602" s="2"/>
    </row>
    <row r="1603" spans="1:33">
      <c r="A1603" s="11"/>
      <c r="B1603" s="2"/>
      <c r="C1603" s="11"/>
      <c r="E1603" s="12"/>
      <c r="F1603" s="18"/>
      <c r="G1603" s="19"/>
      <c r="H1603" s="2"/>
      <c r="I1603" s="12"/>
      <c r="K1603" s="11"/>
      <c r="AF1603" s="2"/>
    </row>
    <row r="1604" spans="1:33">
      <c r="A1604" s="20"/>
      <c r="G1604" s="19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</row>
    <row r="1605" spans="1:33">
      <c r="A1605" s="14"/>
      <c r="B1605" s="5"/>
      <c r="G1605" s="2"/>
      <c r="H1605" s="2"/>
      <c r="I1605" s="2"/>
      <c r="J1605" s="10"/>
      <c r="K1605" s="9"/>
      <c r="AF1605" s="2"/>
    </row>
    <row r="1606" spans="1:33">
      <c r="A1606" s="11"/>
      <c r="C1606" s="11"/>
      <c r="E1606" s="12"/>
      <c r="F1606" s="18"/>
      <c r="G1606" s="2"/>
      <c r="H1606" s="2"/>
      <c r="J1606" s="11"/>
      <c r="M1606" s="10"/>
      <c r="N1606" s="10"/>
      <c r="AF1606" s="2"/>
    </row>
    <row r="1607" spans="1:33">
      <c r="A1607" s="11"/>
      <c r="C1607" s="11"/>
      <c r="E1607" s="12"/>
      <c r="F1607" s="18"/>
      <c r="G1607" s="19"/>
      <c r="H1607" s="2"/>
      <c r="J1607" s="11"/>
      <c r="M1607" s="10"/>
      <c r="N1607" s="10"/>
      <c r="AF1607" s="2"/>
    </row>
    <row r="1608" spans="1:33">
      <c r="A1608" s="20"/>
      <c r="G1608" s="19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  <c r="V1608" s="24"/>
      <c r="W1608" s="24"/>
      <c r="X1608" s="24"/>
      <c r="Y1608" s="24"/>
      <c r="Z1608" s="24"/>
      <c r="AA1608" s="24"/>
      <c r="AB1608" s="24"/>
      <c r="AC1608" s="24"/>
      <c r="AD1608" s="24"/>
      <c r="AE1608" s="24"/>
      <c r="AF1608" s="2"/>
    </row>
    <row r="1609" spans="1:33">
      <c r="A1609" s="22"/>
      <c r="B1609" s="5"/>
      <c r="C1609" s="11"/>
      <c r="E1609" s="27"/>
      <c r="F1609" s="6"/>
      <c r="G1609" s="28"/>
      <c r="I1609" s="29"/>
      <c r="J1609" s="11"/>
      <c r="K1609" s="2"/>
      <c r="L1609" s="11"/>
      <c r="M1609" s="28"/>
      <c r="AF1609" s="2"/>
    </row>
    <row r="1610" spans="1:33">
      <c r="A1610" s="20"/>
      <c r="G1610" s="19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</row>
    <row r="1611" spans="1:33">
      <c r="A1611" s="14"/>
      <c r="B1611" s="5"/>
      <c r="E1611" s="12"/>
      <c r="F1611" s="6"/>
      <c r="G1611" s="2"/>
      <c r="I1611" s="2"/>
      <c r="J1611" s="10"/>
      <c r="K1611" s="9"/>
      <c r="AF1611" s="2"/>
    </row>
    <row r="1612" spans="1:33">
      <c r="A1612" s="20"/>
      <c r="G1612" s="19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</row>
    <row r="1613" spans="1:33">
      <c r="A1613" s="14"/>
      <c r="E1613" s="30"/>
      <c r="H1613" s="2"/>
      <c r="I1613" s="2"/>
      <c r="J1613" s="2"/>
      <c r="K1613" s="9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</row>
    <row r="1614" spans="1:33">
      <c r="A1614" s="3"/>
      <c r="B1614" s="16"/>
      <c r="E1614" s="12"/>
      <c r="F1614" s="6"/>
      <c r="G1614" s="32"/>
      <c r="H1614" s="2"/>
      <c r="I1614" s="29"/>
      <c r="K1614" s="10"/>
      <c r="L1614" s="3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</row>
    <row r="1615" spans="1:33">
      <c r="A1615" s="20"/>
      <c r="B1615" s="16"/>
      <c r="E1615" s="30"/>
      <c r="F1615" s="6"/>
      <c r="G1615" s="32"/>
      <c r="H1615" s="33"/>
      <c r="I1615" s="86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</row>
    <row r="1616" spans="1:33">
      <c r="A1616" s="39"/>
      <c r="B1616" s="16"/>
      <c r="C1616" s="16"/>
      <c r="D1616" s="11"/>
      <c r="E1616" s="21"/>
      <c r="F1616" s="21"/>
      <c r="G1616" s="82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  <c r="V1616" s="24"/>
      <c r="W1616" s="24"/>
      <c r="X1616" s="24"/>
      <c r="Y1616" s="24"/>
      <c r="Z1616" s="24"/>
      <c r="AA1616" s="24"/>
      <c r="AB1616" s="24"/>
      <c r="AC1616" s="24"/>
      <c r="AD1616" s="24"/>
      <c r="AE1616" s="24"/>
      <c r="AF1616" s="28"/>
      <c r="AG1616" s="11"/>
    </row>
    <row r="1617" spans="1:33">
      <c r="A1617" s="3"/>
      <c r="B1617" s="16"/>
      <c r="C1617" s="11"/>
      <c r="D1617" s="11"/>
      <c r="E1617" s="21"/>
      <c r="F1617" s="21"/>
      <c r="G1617" s="82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  <c r="V1617" s="24"/>
      <c r="W1617" s="24"/>
      <c r="X1617" s="24"/>
      <c r="Y1617" s="24"/>
      <c r="Z1617" s="24"/>
      <c r="AA1617" s="24"/>
      <c r="AB1617" s="24"/>
      <c r="AC1617" s="24"/>
      <c r="AD1617" s="24"/>
      <c r="AE1617" s="24"/>
      <c r="AF1617" s="28"/>
      <c r="AG1617" s="11"/>
    </row>
    <row r="1618" spans="1:33"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</row>
    <row r="1619" spans="1:33">
      <c r="G1619" s="9"/>
      <c r="H1619" s="84"/>
      <c r="I1619" s="84"/>
      <c r="J1619" s="84"/>
      <c r="K1619" s="84"/>
      <c r="L1619" s="84"/>
      <c r="M1619" s="84"/>
      <c r="N1619" s="84"/>
      <c r="O1619" s="84"/>
      <c r="P1619" s="84"/>
      <c r="Q1619" s="84"/>
      <c r="R1619" s="84"/>
      <c r="S1619" s="84"/>
      <c r="T1619" s="84"/>
      <c r="U1619" s="84"/>
      <c r="V1619" s="84"/>
      <c r="W1619" s="84"/>
      <c r="X1619" s="84"/>
      <c r="Y1619" s="84"/>
      <c r="Z1619" s="84"/>
      <c r="AA1619" s="84"/>
      <c r="AB1619" s="84"/>
      <c r="AC1619" s="84"/>
      <c r="AD1619" s="84"/>
      <c r="AE1619" s="84"/>
      <c r="AF1619" s="2"/>
    </row>
    <row r="1620" spans="1:33">
      <c r="A1620" s="3"/>
      <c r="G1620" s="19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  <c r="V1620" s="24"/>
      <c r="W1620" s="24"/>
      <c r="X1620" s="24"/>
      <c r="Y1620" s="24"/>
      <c r="Z1620" s="24"/>
      <c r="AA1620" s="24"/>
      <c r="AB1620" s="24"/>
      <c r="AC1620" s="24"/>
      <c r="AD1620" s="24"/>
      <c r="AE1620" s="24"/>
      <c r="AF1620" s="28"/>
      <c r="AG1620" s="11"/>
    </row>
    <row r="1621" spans="1:33">
      <c r="B1621" s="5"/>
      <c r="J1621" s="2"/>
      <c r="K1621" s="2"/>
      <c r="L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</row>
    <row r="1622" spans="1:33">
      <c r="A1622" s="20"/>
      <c r="B1622" s="11"/>
      <c r="C1622" s="11"/>
      <c r="E1622" s="14"/>
      <c r="F1622" s="31"/>
      <c r="G1622" s="19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8"/>
      <c r="AG1622" s="11"/>
    </row>
    <row r="1623" spans="1:33">
      <c r="A1623" s="3"/>
      <c r="B1623" s="5"/>
      <c r="C1623" s="11"/>
      <c r="F1623" s="27"/>
      <c r="G1623" s="2"/>
      <c r="H1623" s="2"/>
      <c r="I1623" s="2"/>
      <c r="J1623" s="2"/>
      <c r="K1623" s="2"/>
      <c r="M1623" s="2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  <c r="Y1623" s="28"/>
      <c r="Z1623" s="28"/>
      <c r="AA1623" s="28"/>
      <c r="AB1623" s="28"/>
      <c r="AC1623" s="28"/>
      <c r="AD1623" s="28"/>
      <c r="AE1623" s="28"/>
      <c r="AF1623" s="28"/>
      <c r="AG1623" s="11"/>
    </row>
    <row r="1624" spans="1:33">
      <c r="A1624" s="11"/>
      <c r="C1624" s="11"/>
      <c r="E1624" s="12"/>
      <c r="F1624" s="18"/>
      <c r="G1624" s="2"/>
      <c r="H1624" s="2"/>
      <c r="J1624" s="11"/>
      <c r="AF1624" s="2"/>
    </row>
    <row r="1625" spans="1:33">
      <c r="A1625" s="11"/>
      <c r="C1625" s="11"/>
      <c r="E1625" s="12"/>
      <c r="F1625" s="18"/>
      <c r="G1625" s="19"/>
      <c r="H1625" s="2"/>
      <c r="I1625" s="12"/>
      <c r="K1625" s="11"/>
      <c r="AF1625" s="2"/>
    </row>
    <row r="1626" spans="1:33">
      <c r="A1626" s="11"/>
      <c r="B1626" s="2"/>
      <c r="C1626" s="11"/>
      <c r="E1626" s="12"/>
      <c r="F1626" s="18"/>
      <c r="G1626" s="19"/>
      <c r="H1626" s="2"/>
      <c r="I1626" s="12"/>
      <c r="K1626" s="11"/>
      <c r="AF1626" s="2"/>
    </row>
    <row r="1627" spans="1:33">
      <c r="A1627" s="20"/>
      <c r="G1627" s="19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  <c r="V1627" s="24"/>
      <c r="W1627" s="24"/>
      <c r="X1627" s="24"/>
      <c r="Y1627" s="24"/>
      <c r="Z1627" s="24"/>
      <c r="AA1627" s="24"/>
      <c r="AB1627" s="24"/>
      <c r="AC1627" s="24"/>
      <c r="AD1627" s="24"/>
      <c r="AE1627" s="24"/>
      <c r="AF1627" s="2"/>
    </row>
    <row r="1628" spans="1:33">
      <c r="A1628" s="22"/>
      <c r="B1628" s="5"/>
      <c r="C1628" s="11"/>
      <c r="E1628" s="27"/>
      <c r="F1628" s="6"/>
      <c r="G1628" s="28"/>
      <c r="I1628" s="29"/>
      <c r="J1628" s="11"/>
      <c r="K1628" s="2"/>
      <c r="L1628" s="11"/>
      <c r="M1628" s="28"/>
      <c r="AF1628" s="2"/>
    </row>
    <row r="1629" spans="1:33">
      <c r="A1629" s="20"/>
      <c r="B1629" s="11"/>
      <c r="C1629" s="11"/>
      <c r="D1629" s="24"/>
      <c r="E1629" s="27"/>
      <c r="F1629" s="6"/>
      <c r="G1629" s="19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8"/>
      <c r="AG1629" s="11"/>
    </row>
    <row r="1630" spans="1:33">
      <c r="A1630" s="14"/>
      <c r="B1630" s="5"/>
      <c r="E1630" s="12"/>
      <c r="F1630" s="6"/>
      <c r="G1630" s="2"/>
      <c r="H1630" s="2"/>
      <c r="J1630" s="10"/>
      <c r="K1630" s="9"/>
      <c r="AF1630" s="2"/>
    </row>
    <row r="1631" spans="1:33">
      <c r="A1631" s="20"/>
      <c r="B1631" s="16"/>
      <c r="C1631" s="11"/>
      <c r="D1631" s="11"/>
      <c r="E1631" s="21"/>
      <c r="F1631" s="21"/>
      <c r="G1631" s="82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24"/>
      <c r="AC1631" s="24"/>
      <c r="AD1631" s="24"/>
      <c r="AE1631" s="24"/>
      <c r="AF1631" s="28"/>
      <c r="AG1631" s="11"/>
    </row>
    <row r="1632" spans="1:33">
      <c r="A1632" s="20"/>
      <c r="B1632" s="16"/>
      <c r="C1632" s="11"/>
      <c r="D1632" s="11"/>
      <c r="E1632" s="21"/>
      <c r="F1632" s="21"/>
      <c r="G1632" s="82"/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  <c r="V1632" s="24"/>
      <c r="W1632" s="24"/>
      <c r="X1632" s="24"/>
      <c r="Y1632" s="24"/>
      <c r="Z1632" s="24"/>
      <c r="AA1632" s="24"/>
      <c r="AB1632" s="24"/>
      <c r="AC1632" s="24"/>
      <c r="AD1632" s="24"/>
      <c r="AE1632" s="24"/>
      <c r="AF1632" s="28"/>
      <c r="AG1632" s="11"/>
    </row>
    <row r="1634" spans="1:33">
      <c r="A1634" s="39"/>
      <c r="B1634" s="16"/>
      <c r="G1634" s="32"/>
      <c r="H1634" s="33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</row>
    <row r="1635" spans="1:33">
      <c r="A1635" s="3"/>
      <c r="B1635" s="16"/>
      <c r="C1635" s="11"/>
      <c r="D1635" s="11"/>
      <c r="E1635" s="27"/>
      <c r="F1635" s="6"/>
      <c r="G1635" s="32"/>
      <c r="H1635" s="33"/>
      <c r="I1635" s="29"/>
      <c r="J1635" s="28"/>
      <c r="K1635" s="11"/>
      <c r="L1635" s="11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28"/>
      <c r="AE1635" s="28"/>
      <c r="AF1635" s="28"/>
      <c r="AG1635" s="11"/>
    </row>
    <row r="1636" spans="1:33"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</row>
    <row r="1637" spans="1:33">
      <c r="G1637" s="9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2"/>
    </row>
    <row r="1638" spans="1:33" ht="15" customHeight="1">
      <c r="A1638" s="3"/>
      <c r="B1638" s="11"/>
      <c r="C1638" s="11"/>
      <c r="D1638" s="11"/>
      <c r="E1638" s="27"/>
      <c r="F1638" s="6"/>
      <c r="G1638" s="19"/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  <c r="V1638" s="24"/>
      <c r="W1638" s="24"/>
      <c r="X1638" s="24"/>
      <c r="Y1638" s="24"/>
      <c r="Z1638" s="24"/>
      <c r="AA1638" s="24"/>
      <c r="AB1638" s="24"/>
      <c r="AC1638" s="24"/>
      <c r="AD1638" s="24"/>
      <c r="AE1638" s="24"/>
      <c r="AF1638" s="28"/>
      <c r="AG1638" s="11"/>
    </row>
    <row r="1639" spans="1:33">
      <c r="A1639" s="3"/>
      <c r="B1639" s="5"/>
      <c r="C1639" s="11"/>
      <c r="F1639" s="27"/>
      <c r="I1639" s="2"/>
      <c r="K1639" s="2"/>
      <c r="M1639" s="2"/>
      <c r="N1639" s="28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  <c r="Y1639" s="28"/>
      <c r="Z1639" s="28"/>
      <c r="AA1639" s="28"/>
      <c r="AB1639" s="28"/>
      <c r="AC1639" s="28"/>
      <c r="AD1639" s="28"/>
      <c r="AE1639" s="28"/>
      <c r="AF1639" s="28"/>
      <c r="AG1639" s="11"/>
    </row>
    <row r="1640" spans="1:33">
      <c r="A1640" s="3"/>
      <c r="C1640" s="11"/>
      <c r="D1640" s="2"/>
      <c r="F1640" s="27"/>
      <c r="G1640" s="2"/>
      <c r="I1640" s="2"/>
      <c r="K1640" s="2"/>
      <c r="M1640" s="2"/>
      <c r="N1640" s="28"/>
      <c r="O1640" s="28"/>
      <c r="P1640" s="28"/>
      <c r="Q1640" s="28"/>
      <c r="R1640" s="28"/>
      <c r="S1640" s="28"/>
      <c r="T1640" s="28"/>
      <c r="U1640" s="28"/>
      <c r="V1640" s="28"/>
      <c r="W1640" s="28"/>
      <c r="X1640" s="28"/>
      <c r="Y1640" s="28"/>
      <c r="Z1640" s="28"/>
      <c r="AA1640" s="28"/>
      <c r="AB1640" s="28"/>
      <c r="AC1640" s="28"/>
      <c r="AD1640" s="28"/>
      <c r="AE1640" s="28"/>
      <c r="AF1640" s="28"/>
      <c r="AG1640" s="11"/>
    </row>
    <row r="1641" spans="1:33">
      <c r="A1641" s="20"/>
      <c r="B1641" s="11"/>
      <c r="C1641" s="11"/>
      <c r="D1641" s="11"/>
      <c r="E1641" s="27"/>
      <c r="F1641" s="6"/>
      <c r="G1641" s="19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24"/>
      <c r="AE1641" s="24"/>
      <c r="AF1641" s="28"/>
      <c r="AG1641" s="11"/>
    </row>
    <row r="1642" spans="1:33">
      <c r="A1642" s="20"/>
      <c r="B1642" s="5"/>
      <c r="C1642" s="11"/>
      <c r="F1642" s="27"/>
      <c r="G1642" s="6"/>
      <c r="H1642" s="2"/>
      <c r="M1642" s="28"/>
      <c r="O1642" s="28"/>
      <c r="P1642" s="28"/>
      <c r="Q1642" s="11"/>
      <c r="R1642" s="28"/>
      <c r="S1642" s="28"/>
      <c r="T1642" s="28"/>
      <c r="U1642" s="28"/>
      <c r="V1642" s="28"/>
      <c r="W1642" s="28"/>
      <c r="X1642" s="28"/>
      <c r="Y1642" s="28"/>
      <c r="Z1642" s="28"/>
      <c r="AA1642" s="28"/>
      <c r="AB1642" s="28"/>
      <c r="AC1642" s="28"/>
      <c r="AD1642" s="28"/>
      <c r="AE1642" s="28"/>
      <c r="AF1642" s="28"/>
      <c r="AG1642" s="11"/>
    </row>
    <row r="1643" spans="1:33">
      <c r="A1643" s="20"/>
      <c r="B1643" s="11"/>
      <c r="C1643" s="11"/>
      <c r="D1643" s="11"/>
      <c r="E1643" s="27"/>
      <c r="F1643" s="6"/>
      <c r="G1643" s="19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  <c r="V1643" s="24"/>
      <c r="W1643" s="24"/>
      <c r="X1643" s="24"/>
      <c r="Y1643" s="24"/>
      <c r="Z1643" s="24"/>
      <c r="AA1643" s="24"/>
      <c r="AB1643" s="24"/>
      <c r="AC1643" s="24"/>
      <c r="AD1643" s="24"/>
      <c r="AE1643" s="24"/>
      <c r="AF1643" s="28"/>
      <c r="AG1643" s="11"/>
    </row>
    <row r="1644" spans="1:33">
      <c r="A1644" s="20"/>
      <c r="B1644" s="5"/>
      <c r="C1644" s="11"/>
      <c r="E1644" s="27"/>
      <c r="F1644" s="6"/>
      <c r="G1644" s="28"/>
      <c r="I1644" s="29"/>
      <c r="J1644" s="11"/>
      <c r="K1644" s="2"/>
      <c r="L1644" s="11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  <c r="W1644" s="28"/>
      <c r="X1644" s="28"/>
      <c r="Y1644" s="28"/>
      <c r="Z1644" s="28"/>
      <c r="AA1644" s="28"/>
      <c r="AB1644" s="28"/>
      <c r="AC1644" s="28"/>
      <c r="AD1644" s="28"/>
      <c r="AE1644" s="28"/>
      <c r="AF1644" s="28"/>
      <c r="AG1644" s="11"/>
    </row>
    <row r="1645" spans="1:33">
      <c r="A1645" s="20"/>
      <c r="B1645" s="11"/>
      <c r="C1645" s="11"/>
      <c r="D1645" s="11"/>
      <c r="E1645" s="27"/>
      <c r="F1645" s="6"/>
      <c r="G1645" s="19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  <c r="AE1645" s="24"/>
      <c r="AF1645" s="28"/>
      <c r="AG1645" s="11"/>
    </row>
    <row r="1646" spans="1:33">
      <c r="A1646" s="20"/>
      <c r="B1646" s="5"/>
      <c r="C1646" s="11"/>
      <c r="E1646" s="2"/>
      <c r="G1646" s="2"/>
      <c r="I1646" s="11"/>
      <c r="J1646" s="28"/>
      <c r="K1646" s="2"/>
      <c r="L1646" s="12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  <c r="W1646" s="28"/>
      <c r="X1646" s="28"/>
      <c r="Y1646" s="28"/>
      <c r="Z1646" s="28"/>
      <c r="AA1646" s="28"/>
      <c r="AB1646" s="28"/>
      <c r="AC1646" s="28"/>
      <c r="AD1646" s="28"/>
      <c r="AE1646" s="28"/>
      <c r="AF1646" s="28"/>
      <c r="AG1646" s="11"/>
    </row>
    <row r="1647" spans="1:33">
      <c r="A1647" s="20"/>
      <c r="B1647" s="16"/>
      <c r="C1647" s="11"/>
      <c r="D1647" s="11"/>
      <c r="E1647" s="27"/>
      <c r="F1647" s="6"/>
      <c r="G1647" s="32"/>
      <c r="H1647" s="33"/>
      <c r="I1647" s="29"/>
      <c r="J1647" s="28"/>
      <c r="K1647" s="11"/>
      <c r="L1647" s="11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  <c r="W1647" s="28"/>
      <c r="X1647" s="28"/>
      <c r="Y1647" s="28"/>
      <c r="Z1647" s="28"/>
      <c r="AA1647" s="28"/>
      <c r="AB1647" s="28"/>
      <c r="AC1647" s="28"/>
      <c r="AD1647" s="28"/>
      <c r="AE1647" s="28"/>
      <c r="AF1647" s="28"/>
      <c r="AG1647" s="11"/>
    </row>
    <row r="1648" spans="1:33">
      <c r="A1648" s="20"/>
      <c r="B1648" s="16"/>
      <c r="G1648" s="32"/>
      <c r="H1648" s="33"/>
      <c r="I1648" s="86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</row>
    <row r="1649" spans="1:32">
      <c r="A1649" s="39"/>
      <c r="B1649" s="16"/>
      <c r="E1649" s="30"/>
      <c r="F1649" s="6"/>
      <c r="G1649" s="32"/>
      <c r="H1649" s="33"/>
      <c r="I1649" s="3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</row>
    <row r="1650" spans="1:32">
      <c r="A1650" s="3"/>
      <c r="E1650" s="12"/>
      <c r="F1650" s="6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</row>
    <row r="1651" spans="1:32"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</row>
    <row r="1652" spans="1:32">
      <c r="G1652" s="9"/>
      <c r="H1652" s="84"/>
      <c r="I1652" s="84"/>
      <c r="J1652" s="84"/>
      <c r="K1652" s="84"/>
      <c r="L1652" s="84"/>
      <c r="M1652" s="84"/>
      <c r="N1652" s="84"/>
      <c r="O1652" s="84"/>
      <c r="P1652" s="84"/>
      <c r="Q1652" s="84"/>
      <c r="R1652" s="84"/>
      <c r="S1652" s="84"/>
      <c r="T1652" s="84"/>
      <c r="U1652" s="84"/>
      <c r="V1652" s="84"/>
      <c r="W1652" s="84"/>
      <c r="X1652" s="84"/>
      <c r="Y1652" s="84"/>
      <c r="Z1652" s="84"/>
      <c r="AA1652" s="84"/>
      <c r="AB1652" s="84"/>
      <c r="AC1652" s="84"/>
      <c r="AD1652" s="84"/>
      <c r="AE1652" s="84"/>
      <c r="AF1652" s="2"/>
    </row>
    <row r="1653" spans="1:32">
      <c r="A1653" s="3"/>
      <c r="G1653" s="19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  <c r="V1653" s="24"/>
      <c r="W1653" s="24"/>
      <c r="X1653" s="24"/>
      <c r="Y1653" s="24"/>
      <c r="Z1653" s="24"/>
      <c r="AA1653" s="24"/>
      <c r="AB1653" s="24"/>
      <c r="AC1653" s="24"/>
      <c r="AD1653" s="24"/>
      <c r="AE1653" s="24"/>
      <c r="AF1653" s="2"/>
    </row>
    <row r="1654" spans="1:32">
      <c r="C1654" s="5"/>
      <c r="J1654" s="2"/>
      <c r="K1654" s="2"/>
      <c r="L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</row>
    <row r="1655" spans="1:32">
      <c r="A1655" s="20"/>
      <c r="G1655" s="19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</row>
    <row r="1656" spans="1:32">
      <c r="B1656" s="5"/>
      <c r="C1656" s="11"/>
      <c r="E1656" s="12"/>
      <c r="F1656" s="18"/>
      <c r="G1656" s="19"/>
      <c r="H1656" s="2"/>
      <c r="I1656" s="2"/>
      <c r="J1656" s="2"/>
      <c r="K1656" s="9"/>
      <c r="AF1656" s="2"/>
    </row>
    <row r="1657" spans="1:32">
      <c r="A1657" s="11"/>
      <c r="C1657" s="11"/>
      <c r="E1657" s="12"/>
      <c r="F1657" s="18"/>
      <c r="G1657" s="2"/>
      <c r="H1657" s="2"/>
      <c r="J1657" s="11"/>
      <c r="AF1657" s="2"/>
    </row>
    <row r="1658" spans="1:32">
      <c r="A1658" s="11"/>
      <c r="C1658" s="11"/>
      <c r="E1658" s="12"/>
      <c r="F1658" s="18"/>
      <c r="G1658" s="19"/>
      <c r="H1658" s="2"/>
      <c r="I1658" s="12"/>
      <c r="K1658" s="11"/>
      <c r="AF1658" s="2"/>
    </row>
    <row r="1659" spans="1:32">
      <c r="A1659" s="11"/>
      <c r="B1659" s="2"/>
      <c r="C1659" s="11"/>
      <c r="E1659" s="12"/>
      <c r="F1659" s="18"/>
      <c r="G1659" s="19"/>
      <c r="H1659" s="2"/>
      <c r="I1659" s="12"/>
      <c r="K1659" s="11"/>
      <c r="AF1659" s="2"/>
    </row>
    <row r="1660" spans="1:32">
      <c r="A1660" s="20"/>
      <c r="G1660" s="19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</row>
    <row r="1661" spans="1:32">
      <c r="A1661" s="14"/>
      <c r="B1661" s="5"/>
      <c r="G1661" s="2"/>
      <c r="H1661" s="2"/>
      <c r="I1661" s="2"/>
      <c r="J1661" s="10"/>
      <c r="K1661" s="9"/>
      <c r="AF1661" s="2"/>
    </row>
    <row r="1662" spans="1:32">
      <c r="A1662" s="11"/>
      <c r="C1662" s="11"/>
      <c r="E1662" s="12"/>
      <c r="F1662" s="18"/>
      <c r="G1662" s="2"/>
      <c r="H1662" s="2"/>
      <c r="J1662" s="11"/>
      <c r="M1662" s="10"/>
      <c r="N1662" s="10"/>
      <c r="AF1662" s="2"/>
    </row>
    <row r="1663" spans="1:32">
      <c r="A1663" s="11"/>
      <c r="C1663" s="11"/>
      <c r="E1663" s="12"/>
      <c r="F1663" s="18"/>
      <c r="G1663" s="19"/>
      <c r="H1663" s="2"/>
      <c r="J1663" s="11"/>
      <c r="M1663" s="10"/>
      <c r="N1663" s="10"/>
      <c r="AF1663" s="2"/>
    </row>
    <row r="1664" spans="1:32">
      <c r="A1664" s="20"/>
      <c r="G1664" s="19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24"/>
      <c r="AC1664" s="24"/>
      <c r="AD1664" s="24"/>
      <c r="AE1664" s="24"/>
      <c r="AF1664" s="2"/>
    </row>
    <row r="1665" spans="1:33">
      <c r="A1665" s="22"/>
      <c r="B1665" s="5"/>
      <c r="C1665" s="11"/>
      <c r="E1665" s="27"/>
      <c r="F1665" s="6"/>
      <c r="G1665" s="28"/>
      <c r="I1665" s="29"/>
      <c r="J1665" s="11"/>
      <c r="K1665" s="2"/>
      <c r="L1665" s="11"/>
      <c r="M1665" s="28"/>
      <c r="AF1665" s="2"/>
    </row>
    <row r="1666" spans="1:33">
      <c r="A1666" s="20"/>
      <c r="G1666" s="19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</row>
    <row r="1667" spans="1:33">
      <c r="A1667" s="14"/>
      <c r="B1667" s="5"/>
      <c r="E1667" s="12"/>
      <c r="F1667" s="6"/>
      <c r="G1667" s="2"/>
      <c r="I1667" s="2"/>
      <c r="J1667" s="10"/>
      <c r="K1667" s="9"/>
      <c r="AF1667" s="2"/>
    </row>
    <row r="1668" spans="1:33">
      <c r="A1668" s="20"/>
      <c r="G1668" s="19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</row>
    <row r="1669" spans="1:33">
      <c r="A1669" s="14"/>
      <c r="E1669" s="30"/>
      <c r="H1669" s="2"/>
      <c r="I1669" s="2"/>
      <c r="J1669" s="2"/>
      <c r="K1669" s="9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</row>
    <row r="1670" spans="1:33">
      <c r="A1670" s="3"/>
      <c r="B1670" s="16"/>
      <c r="E1670" s="12"/>
      <c r="F1670" s="6"/>
      <c r="G1670" s="32"/>
      <c r="H1670" s="2"/>
      <c r="I1670" s="29"/>
      <c r="K1670" s="10"/>
      <c r="L1670" s="3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</row>
    <row r="1671" spans="1:33">
      <c r="A1671" s="20"/>
      <c r="B1671" s="16"/>
      <c r="E1671" s="30"/>
      <c r="F1671" s="6"/>
      <c r="G1671" s="32"/>
      <c r="H1671" s="33"/>
      <c r="I1671" s="86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</row>
    <row r="1672" spans="1:33">
      <c r="A1672" s="39"/>
      <c r="B1672" s="16"/>
      <c r="C1672" s="16"/>
      <c r="D1672" s="11"/>
      <c r="E1672" s="21"/>
      <c r="F1672" s="21"/>
      <c r="G1672" s="82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  <c r="AE1672" s="24"/>
      <c r="AF1672" s="28"/>
      <c r="AG1672" s="11"/>
    </row>
    <row r="1673" spans="1:33">
      <c r="A1673" s="3"/>
      <c r="B1673" s="16"/>
      <c r="C1673" s="11"/>
      <c r="D1673" s="11"/>
      <c r="E1673" s="21"/>
      <c r="F1673" s="21"/>
      <c r="G1673" s="82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  <c r="V1673" s="24"/>
      <c r="W1673" s="24"/>
      <c r="X1673" s="24"/>
      <c r="Y1673" s="24"/>
      <c r="Z1673" s="24"/>
      <c r="AA1673" s="24"/>
      <c r="AB1673" s="24"/>
      <c r="AC1673" s="24"/>
      <c r="AD1673" s="24"/>
      <c r="AE1673" s="24"/>
      <c r="AF1673" s="28"/>
      <c r="AG1673" s="11"/>
    </row>
    <row r="1674" spans="1:33"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</row>
    <row r="1675" spans="1:33">
      <c r="G1675" s="9"/>
      <c r="H1675" s="84"/>
      <c r="I1675" s="84"/>
      <c r="J1675" s="84"/>
      <c r="K1675" s="84"/>
      <c r="L1675" s="84"/>
      <c r="M1675" s="84"/>
      <c r="N1675" s="84"/>
      <c r="O1675" s="84"/>
      <c r="P1675" s="84"/>
      <c r="Q1675" s="84"/>
      <c r="R1675" s="84"/>
      <c r="S1675" s="84"/>
      <c r="T1675" s="84"/>
      <c r="U1675" s="84"/>
      <c r="V1675" s="84"/>
      <c r="W1675" s="84"/>
      <c r="X1675" s="84"/>
      <c r="Y1675" s="84"/>
      <c r="Z1675" s="84"/>
      <c r="AA1675" s="84"/>
      <c r="AB1675" s="84"/>
      <c r="AC1675" s="84"/>
      <c r="AD1675" s="84"/>
      <c r="AE1675" s="84"/>
      <c r="AF1675" s="2"/>
    </row>
    <row r="1676" spans="1:33">
      <c r="A1676" s="3"/>
      <c r="G1676" s="19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8"/>
      <c r="AG1676" s="11"/>
    </row>
    <row r="1677" spans="1:33">
      <c r="B1677" s="5"/>
      <c r="J1677" s="2"/>
      <c r="K1677" s="2"/>
      <c r="L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</row>
    <row r="1678" spans="1:33">
      <c r="A1678" s="20"/>
      <c r="B1678" s="11"/>
      <c r="C1678" s="11"/>
      <c r="E1678" s="14"/>
      <c r="F1678" s="31"/>
      <c r="G1678" s="19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8"/>
      <c r="AG1678" s="11"/>
    </row>
    <row r="1679" spans="1:33">
      <c r="A1679" s="3"/>
      <c r="B1679" s="5"/>
      <c r="C1679" s="11"/>
      <c r="F1679" s="27"/>
      <c r="G1679" s="2"/>
      <c r="H1679" s="2"/>
      <c r="I1679" s="2"/>
      <c r="J1679" s="2"/>
      <c r="K1679" s="2"/>
      <c r="M1679" s="2"/>
      <c r="N1679" s="28"/>
      <c r="O1679" s="28"/>
      <c r="P1679" s="28"/>
      <c r="Q1679" s="28"/>
      <c r="R1679" s="28"/>
      <c r="S1679" s="28"/>
      <c r="T1679" s="28"/>
      <c r="U1679" s="28"/>
      <c r="V1679" s="28"/>
      <c r="W1679" s="28"/>
      <c r="X1679" s="28"/>
      <c r="Y1679" s="28"/>
      <c r="Z1679" s="28"/>
      <c r="AA1679" s="28"/>
      <c r="AB1679" s="28"/>
      <c r="AC1679" s="28"/>
      <c r="AD1679" s="28"/>
      <c r="AE1679" s="28"/>
      <c r="AF1679" s="28"/>
      <c r="AG1679" s="11"/>
    </row>
    <row r="1680" spans="1:33">
      <c r="A1680" s="11"/>
      <c r="C1680" s="11"/>
      <c r="E1680" s="12"/>
      <c r="F1680" s="18"/>
      <c r="G1680" s="2"/>
      <c r="H1680" s="2"/>
      <c r="J1680" s="11"/>
      <c r="AF1680" s="2"/>
    </row>
    <row r="1681" spans="1:33">
      <c r="A1681" s="11"/>
      <c r="C1681" s="11"/>
      <c r="E1681" s="12"/>
      <c r="F1681" s="18"/>
      <c r="G1681" s="19"/>
      <c r="H1681" s="2"/>
      <c r="I1681" s="12"/>
      <c r="K1681" s="11"/>
      <c r="AF1681" s="2"/>
    </row>
    <row r="1682" spans="1:33">
      <c r="A1682" s="11"/>
      <c r="B1682" s="2"/>
      <c r="C1682" s="11"/>
      <c r="E1682" s="12"/>
      <c r="F1682" s="18"/>
      <c r="G1682" s="19"/>
      <c r="H1682" s="2"/>
      <c r="I1682" s="12"/>
      <c r="K1682" s="11"/>
      <c r="AF1682" s="2"/>
    </row>
    <row r="1683" spans="1:33">
      <c r="A1683" s="20"/>
      <c r="G1683" s="19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  <c r="V1683" s="24"/>
      <c r="W1683" s="24"/>
      <c r="X1683" s="24"/>
      <c r="Y1683" s="24"/>
      <c r="Z1683" s="24"/>
      <c r="AA1683" s="24"/>
      <c r="AB1683" s="24"/>
      <c r="AC1683" s="24"/>
      <c r="AD1683" s="24"/>
      <c r="AE1683" s="24"/>
      <c r="AF1683" s="2"/>
    </row>
    <row r="1684" spans="1:33">
      <c r="A1684" s="22"/>
      <c r="B1684" s="5"/>
      <c r="C1684" s="11"/>
      <c r="E1684" s="27"/>
      <c r="F1684" s="6"/>
      <c r="G1684" s="28"/>
      <c r="I1684" s="29"/>
      <c r="J1684" s="11"/>
      <c r="K1684" s="2"/>
      <c r="L1684" s="11"/>
      <c r="M1684" s="28"/>
      <c r="AF1684" s="2"/>
    </row>
    <row r="1685" spans="1:33">
      <c r="A1685" s="20"/>
      <c r="B1685" s="11"/>
      <c r="C1685" s="11"/>
      <c r="D1685" s="24"/>
      <c r="E1685" s="27"/>
      <c r="F1685" s="6"/>
      <c r="G1685" s="19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8"/>
      <c r="AG1685" s="11"/>
    </row>
    <row r="1686" spans="1:33">
      <c r="A1686" s="14"/>
      <c r="B1686" s="5"/>
      <c r="E1686" s="12"/>
      <c r="F1686" s="6"/>
      <c r="G1686" s="2"/>
      <c r="H1686" s="2"/>
      <c r="J1686" s="10"/>
      <c r="K1686" s="9"/>
      <c r="AF1686" s="2"/>
    </row>
    <row r="1687" spans="1:33">
      <c r="A1687" s="20"/>
      <c r="B1687" s="16"/>
      <c r="C1687" s="11"/>
      <c r="D1687" s="11"/>
      <c r="E1687" s="21"/>
      <c r="F1687" s="21"/>
      <c r="G1687" s="82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  <c r="V1687" s="24"/>
      <c r="W1687" s="24"/>
      <c r="X1687" s="24"/>
      <c r="Y1687" s="24"/>
      <c r="Z1687" s="24"/>
      <c r="AA1687" s="24"/>
      <c r="AB1687" s="24"/>
      <c r="AC1687" s="24"/>
      <c r="AD1687" s="24"/>
      <c r="AE1687" s="24"/>
      <c r="AF1687" s="28"/>
      <c r="AG1687" s="11"/>
    </row>
    <row r="1688" spans="1:33">
      <c r="A1688" s="20"/>
      <c r="B1688" s="16"/>
      <c r="C1688" s="11"/>
      <c r="D1688" s="11"/>
      <c r="E1688" s="21"/>
      <c r="F1688" s="21"/>
      <c r="G1688" s="82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  <c r="V1688" s="24"/>
      <c r="W1688" s="24"/>
      <c r="X1688" s="24"/>
      <c r="Y1688" s="24"/>
      <c r="Z1688" s="24"/>
      <c r="AA1688" s="24"/>
      <c r="AB1688" s="24"/>
      <c r="AC1688" s="24"/>
      <c r="AD1688" s="24"/>
      <c r="AE1688" s="24"/>
      <c r="AF1688" s="28"/>
      <c r="AG1688" s="11"/>
    </row>
  </sheetData>
  <phoneticPr fontId="54" type="noConversion"/>
  <pageMargins left="0.7" right="0.7" top="0.78740157499999996" bottom="0.78740157499999996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Y170"/>
  <sheetViews>
    <sheetView workbookViewId="0">
      <selection activeCell="V88" sqref="V88"/>
    </sheetView>
  </sheetViews>
  <sheetFormatPr defaultColWidth="11.42578125" defaultRowHeight="15"/>
  <sheetData>
    <row r="1" spans="1:27">
      <c r="A1" s="20" t="s">
        <v>659</v>
      </c>
      <c r="O1" s="6"/>
      <c r="P1" s="74"/>
      <c r="Q1" s="74"/>
    </row>
    <row r="2" spans="1:27">
      <c r="A2" s="20"/>
      <c r="D2" s="4"/>
      <c r="H2" s="75"/>
    </row>
    <row r="3" spans="1:27">
      <c r="A3" t="s">
        <v>660</v>
      </c>
      <c r="C3">
        <v>128</v>
      </c>
      <c r="D3">
        <v>64</v>
      </c>
      <c r="E3">
        <v>32</v>
      </c>
      <c r="F3" s="83">
        <f>16*SQRT(2)</f>
        <v>22.627416997969522</v>
      </c>
      <c r="G3">
        <v>16</v>
      </c>
      <c r="H3" s="83">
        <f>8*SQRT(2)</f>
        <v>11.313708498984761</v>
      </c>
      <c r="I3">
        <v>8</v>
      </c>
      <c r="J3" s="83">
        <f>4*1.41421</f>
        <v>5.6568399999999999</v>
      </c>
      <c r="K3">
        <v>4</v>
      </c>
      <c r="L3" s="1">
        <v>2.8279999999999998</v>
      </c>
      <c r="M3">
        <v>2.4</v>
      </c>
      <c r="N3">
        <v>2</v>
      </c>
      <c r="O3">
        <v>1.7</v>
      </c>
      <c r="P3" s="83">
        <f>1*(SQRT(2))</f>
        <v>1.4142135623730951</v>
      </c>
      <c r="Q3">
        <v>1</v>
      </c>
    </row>
    <row r="4" spans="1:27">
      <c r="A4" t="s">
        <v>661</v>
      </c>
      <c r="L4" s="1"/>
    </row>
    <row r="5" spans="1:27" s="11" customFormat="1">
      <c r="A5" s="66" t="s">
        <v>662</v>
      </c>
      <c r="B5" s="66"/>
      <c r="C5" s="66">
        <v>0.44700000000000001</v>
      </c>
      <c r="D5" s="66">
        <v>0.89500000000000002</v>
      </c>
      <c r="E5" s="66">
        <v>1.79</v>
      </c>
      <c r="F5" s="59">
        <f>ASIN(1/22.627)*180/PI()</f>
        <v>2.5330113396904266</v>
      </c>
      <c r="G5" s="59">
        <v>3.59</v>
      </c>
      <c r="H5" s="59">
        <f>ASIN(1/11.314)*180/PI()</f>
        <v>5.0707656908845458</v>
      </c>
      <c r="I5" s="59">
        <v>7.18</v>
      </c>
      <c r="J5" s="59">
        <f>ASIN(1/5.6568)*180/PI()</f>
        <v>10.182166091695077</v>
      </c>
      <c r="K5" s="59">
        <v>14.48</v>
      </c>
      <c r="L5" s="59">
        <f>ASIN(1/2.828)*180/PI()</f>
        <v>20.708081851905206</v>
      </c>
      <c r="M5" s="59">
        <f>ASIN(1/2.4)*180/PI()</f>
        <v>24.624318352164082</v>
      </c>
      <c r="N5" s="66">
        <v>30</v>
      </c>
      <c r="O5" s="59">
        <f>ASIN(1/1.7)*180/PI()</f>
        <v>36.031879072470559</v>
      </c>
      <c r="P5" s="66">
        <v>45</v>
      </c>
      <c r="Q5" s="66">
        <v>90</v>
      </c>
    </row>
    <row r="6" spans="1:27" s="11" customFormat="1">
      <c r="A6" s="14" t="s">
        <v>663</v>
      </c>
      <c r="B6" s="14" t="s">
        <v>664</v>
      </c>
      <c r="C6" s="150">
        <f t="shared" ref="C6:D8" si="0">D6*(2-D6)</f>
        <v>0.72374833230079127</v>
      </c>
      <c r="D6" s="150">
        <f t="shared" si="0"/>
        <v>0.47440351247443757</v>
      </c>
      <c r="E6" s="150">
        <f>G6*(2-G6)</f>
        <v>0.27501966404214628</v>
      </c>
      <c r="F6" s="150">
        <f>(F3-G3)*(E6-G6)/G3+G6</f>
        <v>0.20093089787304227</v>
      </c>
      <c r="G6" s="150">
        <f>I6*(2-I6)</f>
        <v>0.14854222890512433</v>
      </c>
      <c r="H6" s="150">
        <f>(H$3-I$3)*(G6-I6)/I$3+I6</f>
        <v>0.10678331603647795</v>
      </c>
      <c r="I6" s="150">
        <f>K6*(2-K6)</f>
        <v>7.7255305572079894E-2</v>
      </c>
      <c r="J6" s="150">
        <f>(J$3-K$3)*(I6-K6)/K$3+K6</f>
        <v>5.5082383423111211E-2</v>
      </c>
      <c r="K6" s="150">
        <f>N6*(2-N6)</f>
        <v>3.940399E-2</v>
      </c>
      <c r="L6" s="150">
        <f>(L$3-N$3)*(K6-N6)/N$3+N6</f>
        <v>2.7974651859999998E-2</v>
      </c>
      <c r="M6" s="150">
        <f>(M$3-N$3)*(K6-N6)/N$3+N6</f>
        <v>2.3800797999999998E-2</v>
      </c>
      <c r="N6" s="14">
        <f>Q6*(2-Q6)</f>
        <v>1.9900000000000001E-2</v>
      </c>
      <c r="O6" s="150">
        <f>(O$3-Q$3)*(N6-Q6)/Q$3+Q6</f>
        <v>1.6930000000000001E-2</v>
      </c>
      <c r="P6" s="150">
        <f>(P$3-Q$3)*(N6-Q6)/Q$3+Q6</f>
        <v>1.4100714267493642E-2</v>
      </c>
      <c r="Q6" s="14">
        <v>0.01</v>
      </c>
      <c r="S6" t="s">
        <v>358</v>
      </c>
    </row>
    <row r="7" spans="1:27">
      <c r="A7" s="14" t="s">
        <v>665</v>
      </c>
      <c r="B7" s="14" t="s">
        <v>664</v>
      </c>
      <c r="C7" s="150">
        <f t="shared" si="0"/>
        <v>0.99859193897646481</v>
      </c>
      <c r="D7" s="150">
        <f t="shared" si="0"/>
        <v>0.96247586078888392</v>
      </c>
      <c r="E7" s="150">
        <f>G7*(2-G7)</f>
        <v>0.80628851554149894</v>
      </c>
      <c r="F7" s="150">
        <f>(F3-G3)*(E7-G7)/G3+G7</f>
        <v>0.66194184261574884</v>
      </c>
      <c r="G7" s="150">
        <f>I7*(2-I7)</f>
        <v>0.55987333134823436</v>
      </c>
      <c r="H7" s="150">
        <f>(H$3-I$3)*(G7-I7)/I$3+I7</f>
        <v>0.42907087358862461</v>
      </c>
      <c r="I7" s="150">
        <f>K7*(2-K7)</f>
        <v>0.33657956871093753</v>
      </c>
      <c r="J7" s="150">
        <f>(J$3-K$3)*(I7-K7)/K$3+K7</f>
        <v>0.24807500696825743</v>
      </c>
      <c r="K7" s="150">
        <f>N7*(2-N7)</f>
        <v>0.18549375000000001</v>
      </c>
      <c r="L7" s="150">
        <f>(L$3-N$3)*(K7-N7)/N$3+N7</f>
        <v>0.13392941250000001</v>
      </c>
      <c r="M7" s="150">
        <f>(M$3-N$3)*(K7-N7)/N$3+N7</f>
        <v>0.11509875</v>
      </c>
      <c r="N7" s="14">
        <f>Q7*(2-Q7)</f>
        <v>9.7500000000000003E-2</v>
      </c>
      <c r="O7" s="150">
        <f>(O$3-Q$3)*(N7-Q7)/Q$3+Q7</f>
        <v>8.3249999999999991E-2</v>
      </c>
      <c r="P7" s="150">
        <f>(P$3-Q$3)*(N7-Q7)/Q$3+Q7</f>
        <v>6.9675144212722029E-2</v>
      </c>
      <c r="Q7" s="14">
        <v>0.05</v>
      </c>
      <c r="S7" s="34" t="s">
        <v>360</v>
      </c>
    </row>
    <row r="8" spans="1:27">
      <c r="A8" s="14" t="s">
        <v>666</v>
      </c>
      <c r="B8" s="14" t="s">
        <v>664</v>
      </c>
      <c r="C8" s="14">
        <f t="shared" si="0"/>
        <v>0.99999999999960609</v>
      </c>
      <c r="D8" s="150">
        <f t="shared" si="0"/>
        <v>0.99999937228982649</v>
      </c>
      <c r="E8" s="150">
        <f>G8*(2-G8)</f>
        <v>0.99920771837485733</v>
      </c>
      <c r="F8" s="150">
        <f>(F3-G3)*(E8-G8)/G3+G8</f>
        <v>0.9831834038168018</v>
      </c>
      <c r="G8" s="150">
        <f>I8*(2-I8)</f>
        <v>0.97185250232893439</v>
      </c>
      <c r="H8" s="150">
        <f>(H$3-I$3)*(G8-I8)/I$3+I8</f>
        <v>0.89006226877840844</v>
      </c>
      <c r="I8" s="150">
        <f>K8*(2-K8)</f>
        <v>0.83222784000000005</v>
      </c>
      <c r="J8" s="150">
        <f>(J$3-K$3)*(I8-K8)/K$3+K8</f>
        <v>0.69056750960640001</v>
      </c>
      <c r="K8" s="150">
        <f>N8*(2-N8)</f>
        <v>0.59040000000000004</v>
      </c>
      <c r="L8" s="150">
        <f>(L$3-N$3)*(K8-N8)/N$3+N8</f>
        <v>0.4553856</v>
      </c>
      <c r="M8" s="150">
        <f>(M$3-N$3)*(K8-N8)/N$3+N8</f>
        <v>0.40608000000000005</v>
      </c>
      <c r="N8" s="14">
        <f>Q8*(2-Q8)</f>
        <v>0.36000000000000004</v>
      </c>
      <c r="O8" s="150">
        <f>(O$3-Q$3)*(N8-Q8)/Q$3+Q8</f>
        <v>0.31200000000000006</v>
      </c>
      <c r="P8" s="150">
        <f>(P$3-Q$3)*(N8-Q8)/Q$3+Q8</f>
        <v>0.26627416997969522</v>
      </c>
      <c r="Q8" s="14">
        <v>0.2</v>
      </c>
      <c r="S8" t="s">
        <v>359</v>
      </c>
      <c r="U8" s="32"/>
      <c r="V8" s="32"/>
      <c r="W8" s="32"/>
      <c r="X8" s="32"/>
      <c r="Y8" s="32"/>
    </row>
    <row r="9" spans="1:27" s="11" customFormat="1">
      <c r="A9" s="16" t="s">
        <v>667</v>
      </c>
      <c r="C9" s="3" t="s">
        <v>668</v>
      </c>
      <c r="D9" s="76" t="s">
        <v>484</v>
      </c>
      <c r="E9" s="76" t="s">
        <v>486</v>
      </c>
      <c r="F9" s="76" t="s">
        <v>485</v>
      </c>
      <c r="G9" s="76" t="s">
        <v>487</v>
      </c>
      <c r="H9" s="76" t="s">
        <v>488</v>
      </c>
      <c r="I9" s="76" t="s">
        <v>489</v>
      </c>
      <c r="J9" s="76" t="s">
        <v>490</v>
      </c>
      <c r="K9" s="76" t="s">
        <v>491</v>
      </c>
      <c r="L9" s="76" t="s">
        <v>494</v>
      </c>
      <c r="M9" s="76" t="s">
        <v>492</v>
      </c>
      <c r="N9" s="76" t="s">
        <v>495</v>
      </c>
      <c r="O9" s="76" t="s">
        <v>493</v>
      </c>
      <c r="P9" s="76" t="s">
        <v>515</v>
      </c>
      <c r="Q9" s="76" t="s">
        <v>517</v>
      </c>
      <c r="R9" s="76" t="s">
        <v>518</v>
      </c>
      <c r="S9" s="76" t="s">
        <v>516</v>
      </c>
      <c r="T9" s="76" t="s">
        <v>519</v>
      </c>
      <c r="U9" s="76" t="s">
        <v>520</v>
      </c>
      <c r="V9" s="76" t="s">
        <v>521</v>
      </c>
      <c r="W9" s="76" t="s">
        <v>522</v>
      </c>
      <c r="X9" s="76" t="s">
        <v>523</v>
      </c>
      <c r="Y9" s="76" t="s">
        <v>524</v>
      </c>
      <c r="Z9" s="76" t="s">
        <v>525</v>
      </c>
      <c r="AA9" s="76" t="s">
        <v>526</v>
      </c>
    </row>
    <row r="10" spans="1:27" s="11" customFormat="1">
      <c r="A10" s="16" t="s">
        <v>501</v>
      </c>
      <c r="B10"/>
      <c r="C10"/>
      <c r="D10" s="32">
        <v>2.68</v>
      </c>
      <c r="E10" s="32">
        <v>7.97</v>
      </c>
      <c r="F10" s="32">
        <v>13.18</v>
      </c>
      <c r="G10" s="32">
        <v>18.27</v>
      </c>
      <c r="H10" s="32">
        <v>23.18</v>
      </c>
      <c r="I10" s="32">
        <v>27.84</v>
      </c>
      <c r="J10" s="32">
        <v>32.17</v>
      </c>
      <c r="K10" s="32">
        <v>36.06</v>
      </c>
      <c r="L10" s="32">
        <v>39.409999999999997</v>
      </c>
      <c r="M10" s="32">
        <v>42.68</v>
      </c>
      <c r="N10" s="32">
        <v>43.95</v>
      </c>
      <c r="O10" s="32">
        <v>44.91</v>
      </c>
      <c r="P10" s="32">
        <v>44.91</v>
      </c>
      <c r="Q10" s="32">
        <v>43.95</v>
      </c>
      <c r="R10" s="32">
        <v>42.68</v>
      </c>
      <c r="S10" s="32">
        <v>39.409999999999997</v>
      </c>
      <c r="T10" s="32">
        <v>36.06</v>
      </c>
      <c r="U10" s="32">
        <v>32.17</v>
      </c>
      <c r="V10" s="32">
        <v>27.84</v>
      </c>
      <c r="W10" s="32">
        <v>23.18</v>
      </c>
      <c r="X10" s="32">
        <v>18.27</v>
      </c>
      <c r="Y10" s="32">
        <v>13.18</v>
      </c>
      <c r="Z10" s="32">
        <v>7.97</v>
      </c>
      <c r="AA10" s="32">
        <v>2.68</v>
      </c>
    </row>
    <row r="11" spans="1:27" s="11" customFormat="1">
      <c r="A11" t="s">
        <v>669</v>
      </c>
      <c r="B11" s="27" t="s">
        <v>670</v>
      </c>
      <c r="C11"/>
      <c r="D11" s="142">
        <f>((D$10-F$5)*G$6+(G$5-D$10)*F$6)/(G$5-F$5)</f>
        <v>0.19364554037001983</v>
      </c>
      <c r="E11" s="142">
        <f t="shared" ref="E11:K11" si="1">((E$10-I$5)*J$6+(J$5-E$10)*I$6)/(J$5-I$5)</f>
        <v>7.1420648873324402E-2</v>
      </c>
      <c r="F11" s="142">
        <f t="shared" si="1"/>
        <v>4.4146358338306324E-2</v>
      </c>
      <c r="G11" s="142">
        <f t="shared" si="1"/>
        <v>3.2448848339915841E-2</v>
      </c>
      <c r="H11" s="142">
        <f t="shared" si="1"/>
        <v>2.534012631402046E-2</v>
      </c>
      <c r="I11" s="142">
        <f t="shared" si="1"/>
        <v>2.1467377726579463E-2</v>
      </c>
      <c r="J11" s="142">
        <f t="shared" si="1"/>
        <v>1.883152698809655E-2</v>
      </c>
      <c r="K11" s="142">
        <f t="shared" si="1"/>
        <v>1.6921128337843924E-2</v>
      </c>
      <c r="L11" s="142">
        <f>((L$10-O$5)*P$6+(P$5-L$10)*O$6)/(P$5-O$5)</f>
        <v>1.586426176785808E-2</v>
      </c>
      <c r="M11" s="142">
        <f>((M$10-O$5)*P$6+(P$5-M$10)*O$6)/(P$5-O$5)</f>
        <v>1.4832633802528614E-2</v>
      </c>
      <c r="N11" s="142">
        <f>((N$10-O$5)*P$6+(P$5-N$10)*O$6)/(P$5-O$5)</f>
        <v>1.4431970953608606E-2</v>
      </c>
      <c r="O11" s="142">
        <f>((O$10-O$5)*P$6+(P$5-O$10)*O$6)/(P$5-O$5)</f>
        <v>1.4129107697732068E-2</v>
      </c>
      <c r="P11" s="142">
        <f>O11</f>
        <v>1.4129107697732068E-2</v>
      </c>
      <c r="Q11" s="142">
        <f>N11</f>
        <v>1.4431970953608606E-2</v>
      </c>
      <c r="R11" s="142">
        <f>M11</f>
        <v>1.4832633802528614E-2</v>
      </c>
      <c r="S11" s="142">
        <f>L11</f>
        <v>1.586426176785808E-2</v>
      </c>
      <c r="T11" s="142">
        <f>K11</f>
        <v>1.6921128337843924E-2</v>
      </c>
      <c r="U11" s="142">
        <f>J11</f>
        <v>1.883152698809655E-2</v>
      </c>
      <c r="V11" s="142">
        <f>I11</f>
        <v>2.1467377726579463E-2</v>
      </c>
      <c r="W11" s="142">
        <f>H11</f>
        <v>2.534012631402046E-2</v>
      </c>
      <c r="X11" s="142">
        <f>G11</f>
        <v>3.2448848339915841E-2</v>
      </c>
      <c r="Y11" s="142">
        <f>F11</f>
        <v>4.4146358338306324E-2</v>
      </c>
      <c r="Z11" s="101">
        <f>E11</f>
        <v>7.1420648873324402E-2</v>
      </c>
      <c r="AA11" s="101">
        <f>D11</f>
        <v>0.19364554037001983</v>
      </c>
    </row>
    <row r="12" spans="1:27" s="11" customFormat="1">
      <c r="A12" t="s">
        <v>671</v>
      </c>
      <c r="B12"/>
      <c r="C12"/>
      <c r="D12" s="142">
        <f>((D$10-F$5)*G$7+(G$5-D$10)*F$7)/(G$5-F$5)</f>
        <v>0.64774782682885257</v>
      </c>
      <c r="E12" s="142">
        <f t="shared" ref="E12:K12" si="2">((E$10-I$5)*J$7+(J$5-E$10)*I$7)/(J$5-I$5)</f>
        <v>0.31329018310028334</v>
      </c>
      <c r="F12" s="142">
        <f t="shared" si="2"/>
        <v>0.20442320046143528</v>
      </c>
      <c r="G12" s="142">
        <f t="shared" si="2"/>
        <v>0.15411509381467434</v>
      </c>
      <c r="H12" s="142">
        <f t="shared" si="2"/>
        <v>0.12204354800450258</v>
      </c>
      <c r="I12" s="142">
        <f t="shared" si="2"/>
        <v>0.10457134508519547</v>
      </c>
      <c r="J12" s="142">
        <f t="shared" si="2"/>
        <v>9.2373488074200621E-2</v>
      </c>
      <c r="K12" s="142">
        <f t="shared" si="2"/>
        <v>8.3207433944200632E-2</v>
      </c>
      <c r="L12" s="142">
        <f>((L$10-O$5)*P$7+(P$5-L$10)*O$7)/(P$5-O$5)</f>
        <v>7.8136609492248349E-2</v>
      </c>
      <c r="M12" s="142">
        <f>((M$10-O$5)*P$7+(P$5-M$10)*O$7)/(P$5-O$5)</f>
        <v>7.3186879355566586E-2</v>
      </c>
      <c r="N12" s="142">
        <f>((N$10-O$5)*P$7+(P$5-N$10)*O$7)/(P$5-O$5)</f>
        <v>7.1264507100647356E-2</v>
      </c>
      <c r="O12" s="142">
        <f>((O$10-O$5)*P$7+(P$5-O$10)*O$7)/(P$5-O$5)</f>
        <v>6.9811375317401336E-2</v>
      </c>
      <c r="P12" s="142">
        <f t="shared" ref="P12:P40" si="3">O12</f>
        <v>6.9811375317401336E-2</v>
      </c>
      <c r="Q12" s="142">
        <f t="shared" ref="Q12:Q21" si="4">N12</f>
        <v>7.1264507100647356E-2</v>
      </c>
      <c r="R12" s="142">
        <f t="shared" ref="R12:R21" si="5">M12</f>
        <v>7.3186879355566586E-2</v>
      </c>
      <c r="S12" s="142">
        <f t="shared" ref="S12:S21" si="6">L12</f>
        <v>7.8136609492248349E-2</v>
      </c>
      <c r="T12" s="142">
        <f t="shared" ref="T12:T21" si="7">K12</f>
        <v>8.3207433944200632E-2</v>
      </c>
      <c r="U12" s="142">
        <f t="shared" ref="U12:U21" si="8">J12</f>
        <v>9.2373488074200621E-2</v>
      </c>
      <c r="V12" s="142">
        <f t="shared" ref="V12:V21" si="9">I12</f>
        <v>0.10457134508519547</v>
      </c>
      <c r="W12" s="142">
        <f t="shared" ref="W12:W21" si="10">H12</f>
        <v>0.12204354800450258</v>
      </c>
      <c r="X12" s="142">
        <f t="shared" ref="X12:X21" si="11">G12</f>
        <v>0.15411509381467434</v>
      </c>
      <c r="Y12" s="142">
        <f t="shared" ref="Y12:Y21" si="12">F12</f>
        <v>0.20442320046143528</v>
      </c>
      <c r="Z12" s="101">
        <f t="shared" ref="Z12:Z21" si="13">E12</f>
        <v>0.31329018310028334</v>
      </c>
      <c r="AA12" s="101">
        <f t="shared" ref="AA12:AA21" si="14">D12</f>
        <v>0.64774782682885257</v>
      </c>
    </row>
    <row r="13" spans="1:27" s="11" customFormat="1">
      <c r="A13" t="s">
        <v>672</v>
      </c>
      <c r="B13"/>
      <c r="C13"/>
      <c r="D13" s="142">
        <f>((D$10-F$5)*G$8+(G$5-D$10)*F$8)/(G$5-F$5)</f>
        <v>0.98160768773550211</v>
      </c>
      <c r="E13" s="142">
        <f t="shared" ref="E13:K13" si="15">((E$10-I$5)*J$8+(J$5-E$10)*I$8)/(J$5-I$5)</f>
        <v>0.7949508681094285</v>
      </c>
      <c r="F13" s="142">
        <f t="shared" si="15"/>
        <v>0.6206984631948419</v>
      </c>
      <c r="G13" s="142">
        <f t="shared" si="15"/>
        <v>0.50823913760807971</v>
      </c>
      <c r="H13" s="142">
        <f t="shared" si="15"/>
        <v>0.42426403534611712</v>
      </c>
      <c r="I13" s="142">
        <f t="shared" si="15"/>
        <v>0.37851538214508462</v>
      </c>
      <c r="J13" s="142">
        <f t="shared" si="15"/>
        <v>0.34273174930257055</v>
      </c>
      <c r="K13" s="142">
        <f t="shared" si="15"/>
        <v>0.31185661960151795</v>
      </c>
      <c r="L13" s="142">
        <f>((L$10-O$5)*P$8+(P$5-L$10)*O$8)/(P$5-O$5)</f>
        <v>0.29477594776336297</v>
      </c>
      <c r="M13" s="142">
        <f>((M$10-O$5)*P$8+(P$5-M$10)*O$8)/(P$5-O$5)</f>
        <v>0.27810317256611905</v>
      </c>
      <c r="N13" s="142">
        <f>((N$10-O$5)*P$8+(P$5-N$10)*O$8)/(P$5-O$5)</f>
        <v>0.27162781339165426</v>
      </c>
      <c r="O13" s="142">
        <f>((O$10-O$5)*P$8+(P$5-O$10)*O$8)/(P$5-O$5)</f>
        <v>0.26673305370072031</v>
      </c>
      <c r="P13" s="142">
        <f t="shared" si="3"/>
        <v>0.26673305370072031</v>
      </c>
      <c r="Q13" s="142">
        <f t="shared" si="4"/>
        <v>0.27162781339165426</v>
      </c>
      <c r="R13" s="142">
        <f t="shared" si="5"/>
        <v>0.27810317256611905</v>
      </c>
      <c r="S13" s="142">
        <f t="shared" si="6"/>
        <v>0.29477594776336297</v>
      </c>
      <c r="T13" s="142">
        <f t="shared" si="7"/>
        <v>0.31185661960151795</v>
      </c>
      <c r="U13" s="142">
        <f t="shared" si="8"/>
        <v>0.34273174930257055</v>
      </c>
      <c r="V13" s="142">
        <f t="shared" si="9"/>
        <v>0.37851538214508462</v>
      </c>
      <c r="W13" s="142">
        <f t="shared" si="10"/>
        <v>0.42426403534611712</v>
      </c>
      <c r="X13" s="142">
        <f t="shared" si="11"/>
        <v>0.50823913760807971</v>
      </c>
      <c r="Y13" s="142">
        <f t="shared" si="12"/>
        <v>0.6206984631948419</v>
      </c>
      <c r="Z13" s="101">
        <f t="shared" si="13"/>
        <v>0.7949508681094285</v>
      </c>
      <c r="AA13" s="101">
        <f t="shared" si="14"/>
        <v>0.98160768773550211</v>
      </c>
    </row>
    <row r="14" spans="1:27" s="11" customFormat="1">
      <c r="A14"/>
      <c r="B14"/>
      <c r="C14"/>
      <c r="D14" s="4"/>
      <c r="E14" s="1"/>
      <c r="F14" s="1"/>
      <c r="G14" s="1"/>
      <c r="H14" s="1"/>
      <c r="I14" s="4"/>
      <c r="J14" s="1"/>
      <c r="K14" s="1"/>
      <c r="L14" s="1"/>
      <c r="M14" s="1"/>
      <c r="N14" s="4"/>
      <c r="O14" s="1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12"/>
      <c r="AA14" s="12"/>
    </row>
    <row r="15" spans="1:27" s="11" customFormat="1">
      <c r="A15" s="16" t="s">
        <v>507</v>
      </c>
      <c r="B15"/>
      <c r="C15"/>
      <c r="D15" s="32">
        <v>2.4300000000000002</v>
      </c>
      <c r="E15" s="32">
        <v>7.23</v>
      </c>
      <c r="F15" s="32">
        <v>11.96</v>
      </c>
      <c r="G15" s="32">
        <v>16.55</v>
      </c>
      <c r="H15" s="32">
        <v>20.96</v>
      </c>
      <c r="I15" s="32">
        <v>25.12</v>
      </c>
      <c r="J15" s="32">
        <v>28.94</v>
      </c>
      <c r="K15" s="32">
        <v>32.35</v>
      </c>
      <c r="L15" s="32">
        <v>35.25</v>
      </c>
      <c r="M15" s="32">
        <v>37.53</v>
      </c>
      <c r="N15" s="32">
        <v>39.119999999999997</v>
      </c>
      <c r="O15" s="32">
        <v>39.93</v>
      </c>
      <c r="P15" s="75">
        <f t="shared" si="3"/>
        <v>39.93</v>
      </c>
      <c r="Q15" s="140">
        <f t="shared" si="4"/>
        <v>39.119999999999997</v>
      </c>
      <c r="R15" s="140">
        <f t="shared" si="5"/>
        <v>37.53</v>
      </c>
      <c r="S15" s="140">
        <f t="shared" si="6"/>
        <v>35.25</v>
      </c>
      <c r="T15" s="140">
        <f t="shared" si="7"/>
        <v>32.35</v>
      </c>
      <c r="U15" s="140">
        <f t="shared" si="8"/>
        <v>28.94</v>
      </c>
      <c r="V15" s="140">
        <f t="shared" si="9"/>
        <v>25.12</v>
      </c>
      <c r="W15" s="140">
        <f t="shared" si="10"/>
        <v>20.96</v>
      </c>
      <c r="X15" s="140">
        <f t="shared" si="11"/>
        <v>16.55</v>
      </c>
      <c r="Y15" s="140">
        <f t="shared" si="12"/>
        <v>11.96</v>
      </c>
      <c r="Z15" s="16">
        <f t="shared" si="13"/>
        <v>7.23</v>
      </c>
      <c r="AA15" s="16">
        <f t="shared" si="14"/>
        <v>2.4300000000000002</v>
      </c>
    </row>
    <row r="16" spans="1:27" s="11" customFormat="1">
      <c r="A16" t="s">
        <v>669</v>
      </c>
      <c r="B16" s="27" t="s">
        <v>670</v>
      </c>
      <c r="C16"/>
      <c r="D16" s="142">
        <f>((D$15-E$5)*F$6+(F$5-D$15)*E$6)/(F$5-E$5)</f>
        <v>0.21120258909954495</v>
      </c>
      <c r="E16" s="142">
        <f>((E$15-I$5)*J$6+(J$5-E$15)*I$6)/(J$5-I$5)</f>
        <v>7.6886023502538398E-2</v>
      </c>
      <c r="F16" s="142">
        <f>((F$15-J$5)*K$6+(K$5-F$15)*J$6)/(K$5-J$5)</f>
        <v>4.8596888625024558E-2</v>
      </c>
      <c r="G16" s="142">
        <f>((G$15-K$5)*L$6+(L$5-G$15)*K$6)/(L$5-K$5)</f>
        <v>3.5605271467975146E-2</v>
      </c>
      <c r="H16" s="142">
        <f>((H$15-L$5)*M$6+(M$5-H$15)*L$6)/(M$5-L$5)</f>
        <v>2.7706162065075712E-2</v>
      </c>
      <c r="I16" s="142">
        <f>((I$15-M$5)*N$6+(N$5-I$15)*M$6)/(N$5-M$5)</f>
        <v>2.3441112641531377E-2</v>
      </c>
      <c r="J16" s="142">
        <f>((J$15-M$5)*N$6+(N$5-J$15)*M$6)/(N$5-M$5)</f>
        <v>2.0669176106562142E-2</v>
      </c>
      <c r="K16" s="142">
        <f>((K$15-N$5)*O$6+(O$5-K$15)*N$6)/(O$5-N$5)</f>
        <v>1.8742897890334977E-2</v>
      </c>
      <c r="L16" s="142">
        <f>((L$15-N$5)*O$6+(O$5-L$15)*N$6)/(O$5-N$5)</f>
        <v>1.7314984648620687E-2</v>
      </c>
      <c r="M16" s="142">
        <f>((M$15-O$5)*P$6+(P$5-M$15)*O$6)/(P$5-O$5)</f>
        <v>1.645736897728297E-2</v>
      </c>
      <c r="N16" s="142">
        <f>((N$15-O$5)*P$6+(P$5-N$15)*O$6)/(P$5-O$5)</f>
        <v>1.5955751709737453E-2</v>
      </c>
      <c r="O16" s="142">
        <f>((O$15-O$5)*P$6+(P$5-O$15)*O$6)/(P$5-O$5)</f>
        <v>1.570021083759162E-2</v>
      </c>
      <c r="P16" s="142">
        <f t="shared" si="3"/>
        <v>1.570021083759162E-2</v>
      </c>
      <c r="Q16" s="142">
        <f t="shared" si="4"/>
        <v>1.5955751709737453E-2</v>
      </c>
      <c r="R16" s="142">
        <f t="shared" si="5"/>
        <v>1.645736897728297E-2</v>
      </c>
      <c r="S16" s="142">
        <f t="shared" si="6"/>
        <v>1.7314984648620687E-2</v>
      </c>
      <c r="T16" s="142">
        <f t="shared" si="7"/>
        <v>1.8742897890334977E-2</v>
      </c>
      <c r="U16" s="142">
        <f t="shared" si="8"/>
        <v>2.0669176106562142E-2</v>
      </c>
      <c r="V16" s="142">
        <f t="shared" si="9"/>
        <v>2.3441112641531377E-2</v>
      </c>
      <c r="W16" s="142">
        <f t="shared" si="10"/>
        <v>2.7706162065075712E-2</v>
      </c>
      <c r="X16" s="142">
        <f t="shared" si="11"/>
        <v>3.5605271467975146E-2</v>
      </c>
      <c r="Y16" s="142">
        <f t="shared" si="12"/>
        <v>4.8596888625024558E-2</v>
      </c>
      <c r="Z16" s="101">
        <f t="shared" si="13"/>
        <v>7.6886023502538398E-2</v>
      </c>
      <c r="AA16" s="101">
        <f t="shared" si="14"/>
        <v>0.21120258909954495</v>
      </c>
    </row>
    <row r="17" spans="1:27" s="11" customFormat="1">
      <c r="A17" t="s">
        <v>671</v>
      </c>
      <c r="B17"/>
      <c r="C17"/>
      <c r="D17" s="142">
        <f>((D$15-E$5)*F$7+(F$5-D$15)*E$7)/(F$5-E$5)</f>
        <v>0.68195411344344925</v>
      </c>
      <c r="E17" s="142">
        <f>((E$15-I$5)*J$7+(J$5-E$15)*I$7)/(J$5-I$5)</f>
        <v>0.33510555696342775</v>
      </c>
      <c r="F17" s="142">
        <f>((F$15-J$5)*K$7+(K$5-F$15)*J$7)/(K$5-J$5)</f>
        <v>0.22218776166370524</v>
      </c>
      <c r="G17" s="142">
        <f>((G$15-K$5)*L$7+(L$5-G$15)*K$7)/(L$5-K$5)</f>
        <v>0.16835553936579839</v>
      </c>
      <c r="H17" s="142">
        <f>((H$15-L$5)*M$7+(M$5-H$15)*L$7)/(M$5-L$5)</f>
        <v>0.13271810015354585</v>
      </c>
      <c r="I17" s="142">
        <f>((I$15-M$5)*N$7+(N$5-I$15)*M$7)/(N$5-M$5)</f>
        <v>0.11347600185914532</v>
      </c>
      <c r="J17" s="142">
        <f>((J$15-M$5)*N$7+(N$5-J$15)*M$7)/(N$5-M$5)</f>
        <v>0.10097019712514221</v>
      </c>
      <c r="K17" s="142">
        <f>((K$15-N$5)*O$7+(O$5-K$15)*N$7)/(O$5-N$5)</f>
        <v>9.1948247453627396E-2</v>
      </c>
      <c r="L17" s="142">
        <f>((L$15-N$5)*O$7+(O$5-L$15)*N$7)/(O$5-N$5)</f>
        <v>8.5097148566614392E-2</v>
      </c>
      <c r="M17" s="142">
        <f>((M$15-O$5)*P$7+(P$5-M$15)*O$7)/(P$5-O$5)</f>
        <v>8.0982325901105157E-2</v>
      </c>
      <c r="N17" s="142">
        <f>((N$15-O$5)*P$7+(P$5-N$15)*O$7)/(P$5-O$5)</f>
        <v>7.8575576385103929E-2</v>
      </c>
      <c r="O17" s="142">
        <f>((O$15-O$5)*P$7+(P$5-O$15)*O$7)/(P$5-O$5)</f>
        <v>7.7349496442990107E-2</v>
      </c>
      <c r="P17" s="142">
        <f t="shared" si="3"/>
        <v>7.7349496442990107E-2</v>
      </c>
      <c r="Q17" s="142">
        <f t="shared" si="4"/>
        <v>7.8575576385103929E-2</v>
      </c>
      <c r="R17" s="142">
        <f t="shared" si="5"/>
        <v>8.0982325901105157E-2</v>
      </c>
      <c r="S17" s="142">
        <f t="shared" si="6"/>
        <v>8.5097148566614392E-2</v>
      </c>
      <c r="T17" s="142">
        <f t="shared" si="7"/>
        <v>9.1948247453627396E-2</v>
      </c>
      <c r="U17" s="142">
        <f t="shared" si="8"/>
        <v>0.10097019712514221</v>
      </c>
      <c r="V17" s="142">
        <f t="shared" si="9"/>
        <v>0.11347600185914532</v>
      </c>
      <c r="W17" s="142">
        <f t="shared" si="10"/>
        <v>0.13271810015354585</v>
      </c>
      <c r="X17" s="142">
        <f t="shared" si="11"/>
        <v>0.16835553936579839</v>
      </c>
      <c r="Y17" s="142">
        <f t="shared" si="12"/>
        <v>0.22218776166370524</v>
      </c>
      <c r="Z17" s="101">
        <f t="shared" si="13"/>
        <v>0.33510555696342775</v>
      </c>
      <c r="AA17" s="101">
        <f t="shared" si="14"/>
        <v>0.68195411344344925</v>
      </c>
    </row>
    <row r="18" spans="1:27" s="11" customFormat="1">
      <c r="A18" t="s">
        <v>672</v>
      </c>
      <c r="B18"/>
      <c r="C18"/>
      <c r="D18" s="142">
        <f>((D$15-E$5)*F$8+(F$5-D$15)*E$8)/(F$5-E$5)</f>
        <v>0.9854050201260951</v>
      </c>
      <c r="E18" s="142">
        <f>((E$15-I$5)*J$8+(J$5-E$15)*I$8)/(J$5-I$5)</f>
        <v>0.82986853798160942</v>
      </c>
      <c r="F18" s="142">
        <f>((F$15-J$5)*K$8+(K$5-F$15)*J$8)/(K$5-J$5)</f>
        <v>0.64913240557769347</v>
      </c>
      <c r="G18" s="142">
        <f>((G$15-K$5)*L$8+(L$5-G$15)*K$8)/(L$5-K$5)</f>
        <v>0.54552586143765824</v>
      </c>
      <c r="H18" s="142">
        <f>((H$15-L$5)*M$8+(M$5-H$15)*L$8)/(M$5-L$5)</f>
        <v>0.45221393877834454</v>
      </c>
      <c r="I18" s="142">
        <f>((I$15-M$5)*N$8+(N$5-I$15)*M$8)/(N$5-M$5)</f>
        <v>0.40183104855000595</v>
      </c>
      <c r="J18" s="142">
        <f>((J$15-M$5)*N$8+(N$5-J$15)*M$8)/(N$5-M$5)</f>
        <v>0.36908625234897674</v>
      </c>
      <c r="K18" s="142">
        <f>((K$15-N$5)*O$8+(O$5-K$15)*N$8)/(O$5-N$5)</f>
        <v>0.34129935984379761</v>
      </c>
      <c r="L18" s="142">
        <f>((L$15-N$5)*O$8+(O$5-L$15)*N$8)/(O$5-N$5)</f>
        <v>0.31822197411912229</v>
      </c>
      <c r="M18" s="142">
        <f>((M$15-O$5)*P$8+(P$5-M$15)*O$8)/(P$5-O$5)</f>
        <v>0.30436151882477536</v>
      </c>
      <c r="N18" s="142">
        <f>((N$15-O$5)*P$8+(P$5-N$15)*O$8)/(P$5-O$5)</f>
        <v>0.29625457308666592</v>
      </c>
      <c r="O18" s="142">
        <f>((O$15-O$5)*P$8+(P$5-O$15)*O$8)/(P$5-O$5)</f>
        <v>0.29212461959744035</v>
      </c>
      <c r="P18" s="142">
        <f t="shared" si="3"/>
        <v>0.29212461959744035</v>
      </c>
      <c r="Q18" s="142">
        <f t="shared" si="4"/>
        <v>0.29625457308666592</v>
      </c>
      <c r="R18" s="142">
        <f t="shared" si="5"/>
        <v>0.30436151882477536</v>
      </c>
      <c r="S18" s="142">
        <f t="shared" si="6"/>
        <v>0.31822197411912229</v>
      </c>
      <c r="T18" s="142">
        <f t="shared" si="7"/>
        <v>0.34129935984379761</v>
      </c>
      <c r="U18" s="142">
        <f t="shared" si="8"/>
        <v>0.36908625234897674</v>
      </c>
      <c r="V18" s="142">
        <f t="shared" si="9"/>
        <v>0.40183104855000595</v>
      </c>
      <c r="W18" s="142">
        <f t="shared" si="10"/>
        <v>0.45221393877834454</v>
      </c>
      <c r="X18" s="142">
        <f t="shared" si="11"/>
        <v>0.54552586143765824</v>
      </c>
      <c r="Y18" s="142">
        <f t="shared" si="12"/>
        <v>0.64913240557769347</v>
      </c>
      <c r="Z18" s="101">
        <f t="shared" si="13"/>
        <v>0.82986853798160942</v>
      </c>
      <c r="AA18" s="101">
        <f t="shared" si="14"/>
        <v>0.9854050201260951</v>
      </c>
    </row>
    <row r="19" spans="1:27" s="11" customFormat="1"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12"/>
      <c r="AA19" s="12"/>
    </row>
    <row r="20" spans="1:27" s="11" customFormat="1">
      <c r="A20" s="16" t="s">
        <v>508</v>
      </c>
      <c r="B20"/>
      <c r="C20"/>
      <c r="D20" s="32">
        <v>2.16</v>
      </c>
      <c r="E20" s="32">
        <v>6.44</v>
      </c>
      <c r="F20" s="32">
        <v>10.65</v>
      </c>
      <c r="G20" s="32">
        <v>14.72</v>
      </c>
      <c r="H20" s="32">
        <v>18.61</v>
      </c>
      <c r="I20" s="32">
        <v>22.25</v>
      </c>
      <c r="J20" s="32">
        <v>25.58</v>
      </c>
      <c r="K20" s="32">
        <v>28.52</v>
      </c>
      <c r="L20" s="32">
        <v>30.99</v>
      </c>
      <c r="M20" s="32">
        <v>32.93</v>
      </c>
      <c r="N20" s="32">
        <v>34.26</v>
      </c>
      <c r="O20" s="32">
        <v>34.94</v>
      </c>
      <c r="P20" s="75">
        <f t="shared" si="3"/>
        <v>34.94</v>
      </c>
      <c r="Q20" s="140">
        <f t="shared" si="4"/>
        <v>34.26</v>
      </c>
      <c r="R20" s="140">
        <f t="shared" si="5"/>
        <v>32.93</v>
      </c>
      <c r="S20" s="140">
        <f t="shared" si="6"/>
        <v>30.99</v>
      </c>
      <c r="T20" s="140">
        <f t="shared" si="7"/>
        <v>28.52</v>
      </c>
      <c r="U20" s="140">
        <f t="shared" si="8"/>
        <v>25.58</v>
      </c>
      <c r="V20" s="140">
        <f t="shared" si="9"/>
        <v>22.25</v>
      </c>
      <c r="W20" s="140">
        <f t="shared" si="10"/>
        <v>18.61</v>
      </c>
      <c r="X20" s="140">
        <f t="shared" si="11"/>
        <v>14.72</v>
      </c>
      <c r="Y20" s="140">
        <f t="shared" si="12"/>
        <v>10.65</v>
      </c>
      <c r="Z20" s="16">
        <f t="shared" si="13"/>
        <v>6.44</v>
      </c>
      <c r="AA20" s="12">
        <f t="shared" si="14"/>
        <v>2.16</v>
      </c>
    </row>
    <row r="21" spans="1:27" s="11" customFormat="1">
      <c r="A21" t="s">
        <v>669</v>
      </c>
      <c r="B21" s="27" t="s">
        <v>670</v>
      </c>
      <c r="C21"/>
      <c r="D21" s="142">
        <f>((D$20-E$5)*F$6+(F$5-D$20)*E$6)/(F$5-E$5)</f>
        <v>0.23812541759095487</v>
      </c>
      <c r="E21" s="142">
        <f>((E$20-H$5)*I$6+(I$5-E$20)*H$6)/(I$5-H$5)</f>
        <v>8.7614860055535093E-2</v>
      </c>
      <c r="F21" s="142">
        <f>((F$20-J$5)*K$6+(K$5-F$20)*J$6)/(K$5-J$5)</f>
        <v>5.3375736719779389E-2</v>
      </c>
      <c r="G21" s="142">
        <f>((G$20-K$5)*L$6+(L$5-G$20)*K$6)/(L$5-K$5)</f>
        <v>3.8963558865852191E-2</v>
      </c>
      <c r="H21" s="142">
        <f>((H$20-K$5)*L$6+(L$5-H$20)*K$6)/(L$5-K$5)</f>
        <v>3.1824904233206448E-2</v>
      </c>
      <c r="I21" s="142">
        <f>((I$20-L$5)*M$6+(M$5-I$20)*L$6)/(M$5-L$5)</f>
        <v>2.6331303452976039E-2</v>
      </c>
      <c r="J21" s="142">
        <f>((J$20-M$5)*N$6+(N$5-J$20)*M$6)/(N$5-M$5)</f>
        <v>2.3107319236796861E-2</v>
      </c>
      <c r="K21" s="142">
        <f>((K$20-M$5)*N$6+(N$5-K$20)*M$6)/(N$5-M$5)</f>
        <v>2.0973943997841481E-2</v>
      </c>
      <c r="L21" s="142">
        <f>((L$20-N$5)*O$6+(O$5-L$20)*N$6)/(O$5-N$5)</f>
        <v>1.9412539962311331E-2</v>
      </c>
      <c r="M21" s="142">
        <f>((M$20-N$5)*O$6+(O$5-M$20)*N$6)/(O$5-N$5)</f>
        <v>1.8457315241992119E-2</v>
      </c>
      <c r="N21" s="142">
        <f>((N$20-N$5)*O$6+(O$5-N$20)*N$6)/(O$5-N$5)</f>
        <v>1.7802444686309361E-2</v>
      </c>
      <c r="O21" s="142">
        <f>((O$20-N$5)*O$6+(O$5-O$20)*N$6)/(O$5-N$5)</f>
        <v>1.746762365032118E-2</v>
      </c>
      <c r="P21" s="142">
        <f t="shared" si="3"/>
        <v>1.746762365032118E-2</v>
      </c>
      <c r="Q21" s="142">
        <f t="shared" si="4"/>
        <v>1.7802444686309361E-2</v>
      </c>
      <c r="R21" s="142">
        <f t="shared" si="5"/>
        <v>1.8457315241992119E-2</v>
      </c>
      <c r="S21" s="142">
        <f t="shared" si="6"/>
        <v>1.9412539962311331E-2</v>
      </c>
      <c r="T21" s="142">
        <f t="shared" si="7"/>
        <v>2.0973943997841481E-2</v>
      </c>
      <c r="U21" s="142">
        <f t="shared" si="8"/>
        <v>2.3107319236796861E-2</v>
      </c>
      <c r="V21" s="142">
        <f t="shared" si="9"/>
        <v>2.6331303452976039E-2</v>
      </c>
      <c r="W21" s="142">
        <f t="shared" si="10"/>
        <v>3.1824904233206448E-2</v>
      </c>
      <c r="X21" s="142">
        <f t="shared" si="11"/>
        <v>3.8963558865852191E-2</v>
      </c>
      <c r="Y21" s="142">
        <f t="shared" si="12"/>
        <v>5.3375736719779389E-2</v>
      </c>
      <c r="Z21" s="101">
        <f t="shared" si="13"/>
        <v>8.7614860055535093E-2</v>
      </c>
      <c r="AA21" s="101">
        <f t="shared" si="14"/>
        <v>0.23812541759095487</v>
      </c>
    </row>
    <row r="22" spans="1:27" s="11" customFormat="1">
      <c r="A22" t="s">
        <v>671</v>
      </c>
      <c r="B22"/>
      <c r="C22"/>
      <c r="D22" s="142">
        <f>((D$20-E$5)*F$7+(F$5-D$20)*E$7)/(F$5-E$5)</f>
        <v>0.73440768932856404</v>
      </c>
      <c r="E22" s="142">
        <f>((E$20-H$5)*I$7+(I$5-E$20)*H$7)/(I$5-H$5)</f>
        <v>0.36902905301606975</v>
      </c>
      <c r="F22" s="142">
        <f>((F$20-J$5)*K$7+(K$5-F$20)*J$7)/(K$5-J$5)</f>
        <v>0.24126282328253615</v>
      </c>
      <c r="G22" s="142">
        <f>((G$20-K$5)*L$7+(L$5-G$20)*K$7)/(L$5-K$5)</f>
        <v>0.1835067110858897</v>
      </c>
      <c r="H22" s="142">
        <f>((H$20-K$5)*L$7+(L$5-H$20)*K$7)/(L$5-K$5)</f>
        <v>0.15130012201968471</v>
      </c>
      <c r="I22" s="142">
        <f>((I$20-L$5)*M$7+(M$5-I$20)*L$7)/(M$5-L$5)</f>
        <v>0.1265153198507234</v>
      </c>
      <c r="J22" s="142">
        <f>((J$20-M$5)*N$7+(N$5-J$20)*M$7)/(N$5-M$5)</f>
        <v>0.11197006725766852</v>
      </c>
      <c r="K22" s="142">
        <f>((K$20-M$5)*N$7+(N$5-K$20)*M$7)/(N$5-M$5)</f>
        <v>0.10234518089170801</v>
      </c>
      <c r="L22" s="142">
        <f>((L$20-N$5)*O$7+(O$5-L$20)*N$7)/(O$5-N$5)</f>
        <v>9.5161176586847293E-2</v>
      </c>
      <c r="M22" s="142">
        <f>((M$20-N$5)*O$7+(O$5-M$20)*N$7)/(O$5-N$5)</f>
        <v>9.0578027676224804E-2</v>
      </c>
      <c r="N22" s="142">
        <f>((N$20-N$5)*O$7+(O$5-N$20)*N$7)/(O$5-N$5)</f>
        <v>8.743597197976713E-2</v>
      </c>
      <c r="O22" s="142">
        <f>((O$20-N$5)*O$7+(O$5-O$20)*N$7)/(O$5-N$5)</f>
        <v>8.5829507413157174E-2</v>
      </c>
      <c r="P22" s="142">
        <f>O22</f>
        <v>8.5829507413157174E-2</v>
      </c>
      <c r="Q22" s="142">
        <f>N22</f>
        <v>8.743597197976713E-2</v>
      </c>
      <c r="R22" s="142">
        <f>M22</f>
        <v>9.0578027676224804E-2</v>
      </c>
      <c r="S22" s="142">
        <f>L22</f>
        <v>9.5161176586847293E-2</v>
      </c>
      <c r="T22" s="142">
        <f>K22</f>
        <v>0.10234518089170801</v>
      </c>
      <c r="U22" s="142">
        <f>J22</f>
        <v>0.11197006725766852</v>
      </c>
      <c r="V22" s="142">
        <f>I22</f>
        <v>0.1265153198507234</v>
      </c>
      <c r="W22" s="142">
        <f>H22</f>
        <v>0.15130012201968471</v>
      </c>
      <c r="X22" s="142">
        <f>G22</f>
        <v>0.1835067110858897</v>
      </c>
      <c r="Y22" s="142">
        <f>F22</f>
        <v>0.24126282328253615</v>
      </c>
      <c r="Z22" s="101">
        <f>E22</f>
        <v>0.36902905301606975</v>
      </c>
      <c r="AA22" s="101">
        <f>D22</f>
        <v>0.73440768932856404</v>
      </c>
    </row>
    <row r="23" spans="1:27" s="11" customFormat="1">
      <c r="A23" t="s">
        <v>672</v>
      </c>
      <c r="B23"/>
      <c r="C23"/>
      <c r="D23" s="142">
        <f>((D$20-E$5)*F$8+(F$5-D$20)*E$8)/(F$5-E$5)</f>
        <v>0.99122803344979171</v>
      </c>
      <c r="E23" s="142">
        <f>((E$20-H$5)*I$8+(I$5-E$20)*H$8)/(I$5-H$5)</f>
        <v>0.85251836775742595</v>
      </c>
      <c r="F23" s="142">
        <f>((F$20-J$5)*K$8+(K$5-F$20)*J$8)/(K$5-J$5)</f>
        <v>0.67966393387403412</v>
      </c>
      <c r="G23" s="142">
        <f>((G$20-K$5)*L$8+(L$5-G$20)*K$8)/(L$5-K$5)</f>
        <v>0.58519720132610531</v>
      </c>
      <c r="H23" s="142">
        <f>((H$20-K$5)*L$8+(L$5-H$20)*K$8)/(L$5-K$5)</f>
        <v>0.50086850615339551</v>
      </c>
      <c r="I23" s="142">
        <f>((I$20-L$5)*M$8+(M$5-I$20)*L$8)/(M$5-L$5)</f>
        <v>0.43597277867583406</v>
      </c>
      <c r="J23" s="142">
        <f>((J$20-M$5)*N$8+(N$5-J$20)*M$8)/(N$5-M$5)</f>
        <v>0.39788795790799725</v>
      </c>
      <c r="K23" s="142">
        <f>((K$20-M$5)*N$8+(N$5-K$20)*M$8)/(N$5-M$5)</f>
        <v>0.37268646554385432</v>
      </c>
      <c r="L23" s="142">
        <f>((L$20-N$5)*O$8+(O$5-L$20)*N$8)/(O$5-N$5)</f>
        <v>0.35212185797674878</v>
      </c>
      <c r="M23" s="142">
        <f>((M$20-N$5)*O$8+(O$5-M$20)*N$8)/(O$5-N$5)</f>
        <v>0.33668388269886257</v>
      </c>
      <c r="N23" s="142">
        <f>((N$20-N$5)*O$8+(O$5-N$20)*N$8)/(O$5-N$5)</f>
        <v>0.32610011614237355</v>
      </c>
      <c r="O23" s="142">
        <f>((O$20-N$5)*O$8+(O$5-O$20)*N$8)/(O$5-N$5)</f>
        <v>0.32068886707589794</v>
      </c>
      <c r="P23" s="142">
        <f t="shared" si="3"/>
        <v>0.32068886707589794</v>
      </c>
      <c r="Q23" s="142">
        <f t="shared" ref="Q23:Q28" si="16">N23</f>
        <v>0.32610011614237355</v>
      </c>
      <c r="R23" s="142">
        <f t="shared" ref="R23:R28" si="17">M23</f>
        <v>0.33668388269886257</v>
      </c>
      <c r="S23" s="142">
        <f t="shared" ref="S23:S28" si="18">L23</f>
        <v>0.35212185797674878</v>
      </c>
      <c r="T23" s="142">
        <f t="shared" ref="T23:T28" si="19">K23</f>
        <v>0.37268646554385432</v>
      </c>
      <c r="U23" s="142">
        <f t="shared" ref="U23:U28" si="20">J23</f>
        <v>0.39788795790799725</v>
      </c>
      <c r="V23" s="142">
        <f t="shared" ref="V23:V28" si="21">I23</f>
        <v>0.43597277867583406</v>
      </c>
      <c r="W23" s="142">
        <f t="shared" ref="W23:W28" si="22">H23</f>
        <v>0.50086850615339551</v>
      </c>
      <c r="X23" s="142">
        <f t="shared" ref="X23:X28" si="23">G23</f>
        <v>0.58519720132610531</v>
      </c>
      <c r="Y23" s="142">
        <f t="shared" ref="Y23:Y28" si="24">F23</f>
        <v>0.67966393387403412</v>
      </c>
      <c r="Z23" s="101">
        <f t="shared" ref="Z23:Z28" si="25">E23</f>
        <v>0.85251836775742595</v>
      </c>
      <c r="AA23" s="101">
        <f t="shared" ref="AA23:AA28" si="26">D23</f>
        <v>0.99122803344979171</v>
      </c>
    </row>
    <row r="24" spans="1:27" s="11" customFormat="1">
      <c r="A24"/>
      <c r="B24"/>
      <c r="C24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12"/>
      <c r="AA24" s="12"/>
    </row>
    <row r="25" spans="1:27" s="11" customFormat="1">
      <c r="A25" s="16" t="s">
        <v>509</v>
      </c>
      <c r="B25"/>
      <c r="C25"/>
      <c r="D25" s="32">
        <v>1.87</v>
      </c>
      <c r="E25" s="32">
        <v>5.6</v>
      </c>
      <c r="F25" s="32">
        <v>9.26</v>
      </c>
      <c r="G25" s="32">
        <v>12.79</v>
      </c>
      <c r="H25" s="32">
        <v>16.149999999999999</v>
      </c>
      <c r="I25" s="32">
        <v>19.27</v>
      </c>
      <c r="J25" s="32">
        <v>22.11</v>
      </c>
      <c r="K25" s="32">
        <v>24.59</v>
      </c>
      <c r="L25" s="32">
        <v>26.67</v>
      </c>
      <c r="M25" s="32">
        <v>28.29</v>
      </c>
      <c r="N25" s="32">
        <v>29.39</v>
      </c>
      <c r="O25" s="32">
        <v>29.96</v>
      </c>
      <c r="P25" s="140">
        <f t="shared" si="3"/>
        <v>29.96</v>
      </c>
      <c r="Q25" s="140">
        <f t="shared" si="16"/>
        <v>29.39</v>
      </c>
      <c r="R25" s="140">
        <f t="shared" si="17"/>
        <v>28.29</v>
      </c>
      <c r="S25" s="140">
        <f t="shared" si="18"/>
        <v>26.67</v>
      </c>
      <c r="T25" s="140">
        <f t="shared" si="19"/>
        <v>24.59</v>
      </c>
      <c r="U25" s="140">
        <f t="shared" si="20"/>
        <v>22.11</v>
      </c>
      <c r="V25" s="140">
        <f t="shared" si="21"/>
        <v>19.27</v>
      </c>
      <c r="W25" s="140">
        <f t="shared" si="22"/>
        <v>16.149999999999999</v>
      </c>
      <c r="X25" s="140">
        <f t="shared" si="23"/>
        <v>12.79</v>
      </c>
      <c r="Y25" s="140">
        <f t="shared" si="24"/>
        <v>9.26</v>
      </c>
      <c r="Z25" s="16">
        <f t="shared" si="25"/>
        <v>5.6</v>
      </c>
      <c r="AA25" s="16">
        <f t="shared" si="26"/>
        <v>1.87</v>
      </c>
    </row>
    <row r="26" spans="1:27" s="11" customFormat="1">
      <c r="A26" t="s">
        <v>669</v>
      </c>
      <c r="B26" s="27" t="s">
        <v>670</v>
      </c>
      <c r="C26"/>
      <c r="D26" s="142">
        <f>((D$25-E$5)*F$6+(F$5-D$25)*E$6)/(F$5-E$5)</f>
        <v>0.26704252967432113</v>
      </c>
      <c r="E26" s="142">
        <f>((E$25-H$5)*I$6+(I$5-E$25)*H$6)/(I$5-H$5)</f>
        <v>9.937435433405184E-2</v>
      </c>
      <c r="F26" s="142">
        <f>((F$25-I$5)*J$6+(J$5-F$25)*I$6)/(J$5-I$5)</f>
        <v>6.1893171479154054E-2</v>
      </c>
      <c r="G26" s="142">
        <f>((G$25-J$5)*K$6+(K$5-G$25)*J$6)/(K$5-J$5)</f>
        <v>4.5569068839798221E-2</v>
      </c>
      <c r="H26" s="142">
        <f>((H$25-K$5)*L$6+(L$5-H$25)*K$6)/(L$5-K$5)</f>
        <v>3.6339323358221494E-2</v>
      </c>
      <c r="I26" s="142">
        <f>((I$25-K$5)*L$6+(L$5-I$25)*K$6)/(L$5-K$5)</f>
        <v>3.061371861429997E-2</v>
      </c>
      <c r="J26" s="142">
        <f>((J$25-L$5)*M$6+(M$5-J$25)*L$6)/(M$5-L$5)</f>
        <v>2.6480512914754298E-2</v>
      </c>
      <c r="K26" s="142">
        <f>((K$25-L$5)*M$6+(M$5-K$25)*L$6)/(M$5-L$5)</f>
        <v>2.3837373877539422E-2</v>
      </c>
      <c r="L26" s="142">
        <f>((L$25-M$5)*N$6+(N$5-L$25)*M$6)/(N$5-M$5)</f>
        <v>2.2316373995143336E-2</v>
      </c>
      <c r="M26" s="142">
        <f>((M$25-M$5)*N$6+(N$5-M$25)*M$6)/(N$5-M$5)</f>
        <v>2.1140840700208743E-2</v>
      </c>
      <c r="N26" s="142">
        <f>((N$25-M$5)*N$6+(N$5-N$25)*M$6)/(N$5-M$5)</f>
        <v>2.0342639080191422E-2</v>
      </c>
      <c r="O26" s="142">
        <f>((O$25-M$5)*N$6+(N$5-O$25)*M$6)/(N$5-M$5)</f>
        <v>1.9929025513455177E-2</v>
      </c>
      <c r="P26" s="142">
        <f t="shared" si="3"/>
        <v>1.9929025513455177E-2</v>
      </c>
      <c r="Q26" s="142">
        <f t="shared" si="16"/>
        <v>2.0342639080191422E-2</v>
      </c>
      <c r="R26" s="142">
        <f t="shared" si="17"/>
        <v>2.1140840700208743E-2</v>
      </c>
      <c r="S26" s="142">
        <f t="shared" si="18"/>
        <v>2.2316373995143336E-2</v>
      </c>
      <c r="T26" s="142">
        <f t="shared" si="19"/>
        <v>2.3837373877539422E-2</v>
      </c>
      <c r="U26" s="142">
        <f t="shared" si="20"/>
        <v>2.6480512914754298E-2</v>
      </c>
      <c r="V26" s="142">
        <f t="shared" si="21"/>
        <v>3.061371861429997E-2</v>
      </c>
      <c r="W26" s="142">
        <f t="shared" si="22"/>
        <v>3.6339323358221494E-2</v>
      </c>
      <c r="X26" s="142">
        <f t="shared" si="23"/>
        <v>4.5569068839798221E-2</v>
      </c>
      <c r="Y26" s="142">
        <f t="shared" si="24"/>
        <v>6.1893171479154054E-2</v>
      </c>
      <c r="Z26" s="101">
        <f t="shared" si="25"/>
        <v>9.937435433405184E-2</v>
      </c>
      <c r="AA26" s="101">
        <f t="shared" si="26"/>
        <v>0.26704252967432113</v>
      </c>
    </row>
    <row r="27" spans="1:27" s="11" customFormat="1">
      <c r="A27" t="s">
        <v>671</v>
      </c>
      <c r="B27"/>
      <c r="C27"/>
      <c r="D27" s="142">
        <f>((D$25-E$5)*F$7+(F$5-D$25)*E$7)/(F$5-E$5)</f>
        <v>0.79074671527924278</v>
      </c>
      <c r="E27" s="142">
        <f>((E$25-H$5)*I$7+(I$5-E$25)*H$7)/(I$5-H$5)</f>
        <v>0.40586360276784161</v>
      </c>
      <c r="F27" s="142">
        <f>((F$25-I$5)*J$7+(J$5-F$25)*I$7)/(J$5-I$5)</f>
        <v>0.27526068001453152</v>
      </c>
      <c r="G27" s="142">
        <f>((G$25-J$5)*K$7+(K$5-G$25)*J$7)/(K$5-J$5)</f>
        <v>0.21010203559986584</v>
      </c>
      <c r="H27" s="142">
        <f>((H$25-K$5)*L$7+(L$5-H$25)*K$7)/(L$5-K$5)</f>
        <v>0.1716672708893156</v>
      </c>
      <c r="I27" s="142">
        <f>((I$25-K$5)*L$7+(L$5-I$25)*K$7)/(L$5-K$5)</f>
        <v>0.14583576500588125</v>
      </c>
      <c r="J27" s="142">
        <f>((J$25-L$5)*M$7+(M$5-J$25)*L$7)/(M$5-L$5)</f>
        <v>0.12718848980606845</v>
      </c>
      <c r="K27" s="142">
        <f>((K$25-L$5)*M$7+(M$5-K$25)*L$7)/(M$5-L$5)</f>
        <v>0.11526376488281294</v>
      </c>
      <c r="L27" s="142">
        <f>((L$25-M$5)*N$7+(N$5-L$25)*M$7)/(N$5-M$5)</f>
        <v>0.10840165700634301</v>
      </c>
      <c r="M27" s="142">
        <f>((M$25-M$5)*N$7+(N$5-M$25)*M$7)/(N$5-M$5)</f>
        <v>0.10309814819244642</v>
      </c>
      <c r="N27" s="142">
        <f>((N$25-M$5)*N$7+(N$5-N$25)*M$7)/(N$5-M$5)</f>
        <v>9.9497000232393176E-2</v>
      </c>
      <c r="O27" s="142">
        <f>((O$25-M$5)*N$7+(N$5-O$25)*M$7)/(N$5-M$5)</f>
        <v>9.7630950834911037E-2</v>
      </c>
      <c r="P27" s="142">
        <f t="shared" si="3"/>
        <v>9.7630950834911037E-2</v>
      </c>
      <c r="Q27" s="142">
        <f t="shared" si="16"/>
        <v>9.9497000232393176E-2</v>
      </c>
      <c r="R27" s="142">
        <f t="shared" si="17"/>
        <v>0.10309814819244642</v>
      </c>
      <c r="S27" s="142">
        <f t="shared" si="18"/>
        <v>0.10840165700634301</v>
      </c>
      <c r="T27" s="142">
        <f t="shared" si="19"/>
        <v>0.11526376488281294</v>
      </c>
      <c r="U27" s="142">
        <f t="shared" si="20"/>
        <v>0.12718848980606845</v>
      </c>
      <c r="V27" s="142">
        <f t="shared" si="21"/>
        <v>0.14583576500588125</v>
      </c>
      <c r="W27" s="142">
        <f t="shared" si="22"/>
        <v>0.1716672708893156</v>
      </c>
      <c r="X27" s="142">
        <f t="shared" si="23"/>
        <v>0.21010203559986584</v>
      </c>
      <c r="Y27" s="142">
        <f t="shared" si="24"/>
        <v>0.27526068001453152</v>
      </c>
      <c r="Z27" s="101">
        <f t="shared" si="25"/>
        <v>0.40586360276784161</v>
      </c>
      <c r="AA27" s="101">
        <f t="shared" si="26"/>
        <v>0.79074671527924278</v>
      </c>
    </row>
    <row r="28" spans="1:27" s="11" customFormat="1">
      <c r="A28" t="s">
        <v>672</v>
      </c>
      <c r="B28"/>
      <c r="C28"/>
      <c r="D28" s="142">
        <f>((D$25-E$5)*F$8+(F$5-D$25)*E$8)/(F$5-E$5)</f>
        <v>0.99748238109376208</v>
      </c>
      <c r="E28" s="142">
        <f>((E$25-H$5)*I$8+(I$5-E$25)*H$8)/(I$5-H$5)</f>
        <v>0.8755508587253148</v>
      </c>
      <c r="F28" s="142">
        <f>((F$25-I$5)*J$8+(J$5-F$25)*I$8)/(J$5-I$5)</f>
        <v>0.73408087603495131</v>
      </c>
      <c r="G28" s="142">
        <f>((G$25-J$5)*K$8+(K$5-G$25)*J$8)/(K$5-J$5)</f>
        <v>0.62978800215329445</v>
      </c>
      <c r="H28" s="142">
        <f>((H$25-K$5)*L$8+(L$5-H$25)*K$8)/(L$5-K$5)</f>
        <v>0.55419719256081612</v>
      </c>
      <c r="I28" s="142">
        <f>((I$25-K$5)*L$8+(L$5-I$25)*K$8)/(L$5-K$5)</f>
        <v>0.48656080980018512</v>
      </c>
      <c r="J28" s="142">
        <f>((J$25-L$5)*M$8+(M$5-J$25)*L$8)/(M$5-L$5)</f>
        <v>0.43773538519858712</v>
      </c>
      <c r="K28" s="142">
        <f>((K$25-L$5)*M$8+(M$5-K$25)*L$8)/(M$5-L$5)</f>
        <v>0.40651206965267539</v>
      </c>
      <c r="L28" s="142">
        <f>((L$25-M$5)*N$8+(N$5-L$25)*M$8)/(N$5-M$5)</f>
        <v>0.38854454747367206</v>
      </c>
      <c r="M28" s="142">
        <f>((M$25-M$5)*N$8+(N$5-M$25)*M$8)/(N$5-M$5)</f>
        <v>0.37465801086485861</v>
      </c>
      <c r="N28" s="142">
        <f>((N$25-M$5)*N$8+(N$5-N$25)*M$8)/(N$5-M$5)</f>
        <v>0.36522888106875079</v>
      </c>
      <c r="O28" s="142">
        <f>((O$25-M$5)*N$8+(N$5-O$25)*M$8)/(N$5-M$5)</f>
        <v>0.36034287744713123</v>
      </c>
      <c r="P28" s="142">
        <f t="shared" si="3"/>
        <v>0.36034287744713123</v>
      </c>
      <c r="Q28" s="142">
        <f t="shared" si="16"/>
        <v>0.36522888106875079</v>
      </c>
      <c r="R28" s="142">
        <f t="shared" si="17"/>
        <v>0.37465801086485861</v>
      </c>
      <c r="S28" s="142">
        <f t="shared" si="18"/>
        <v>0.38854454747367206</v>
      </c>
      <c r="T28" s="142">
        <f t="shared" si="19"/>
        <v>0.40651206965267539</v>
      </c>
      <c r="U28" s="142">
        <f t="shared" si="20"/>
        <v>0.43773538519858712</v>
      </c>
      <c r="V28" s="142">
        <f t="shared" si="21"/>
        <v>0.48656080980018512</v>
      </c>
      <c r="W28" s="142">
        <f t="shared" si="22"/>
        <v>0.55419719256081612</v>
      </c>
      <c r="X28" s="142">
        <f t="shared" si="23"/>
        <v>0.62978800215329445</v>
      </c>
      <c r="Y28" s="142">
        <f t="shared" si="24"/>
        <v>0.73408087603495131</v>
      </c>
      <c r="Z28" s="101">
        <f t="shared" si="25"/>
        <v>0.8755508587253148</v>
      </c>
      <c r="AA28" s="101">
        <f t="shared" si="26"/>
        <v>0.99748238109376208</v>
      </c>
    </row>
    <row r="29" spans="1:27" s="11" customFormat="1">
      <c r="A29"/>
      <c r="B29"/>
      <c r="C29"/>
      <c r="D29" s="24"/>
      <c r="E29" s="2"/>
      <c r="F29" s="2"/>
      <c r="G29" s="24"/>
      <c r="H29" s="2"/>
      <c r="I29" s="1"/>
      <c r="J29" s="1"/>
      <c r="K29" s="2"/>
      <c r="L29" s="2"/>
      <c r="M29" s="2"/>
      <c r="N29" s="2"/>
      <c r="O29" s="2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12"/>
      <c r="AA29" s="12"/>
    </row>
    <row r="30" spans="1:27" s="11" customFormat="1">
      <c r="A30" s="16" t="s">
        <v>510</v>
      </c>
      <c r="B30"/>
      <c r="C30"/>
      <c r="D30" s="32">
        <v>1.57</v>
      </c>
      <c r="E30" s="32">
        <v>4.72</v>
      </c>
      <c r="F30" s="32">
        <v>7.81</v>
      </c>
      <c r="G30" s="32">
        <v>10.78</v>
      </c>
      <c r="H30" s="32">
        <v>13.59</v>
      </c>
      <c r="I30" s="32">
        <v>16.190000000000001</v>
      </c>
      <c r="J30" s="32">
        <v>18.54</v>
      </c>
      <c r="K30" s="32">
        <v>20.59</v>
      </c>
      <c r="L30" s="32">
        <v>22.3</v>
      </c>
      <c r="M30" s="32">
        <v>23.61</v>
      </c>
      <c r="N30" s="32">
        <v>24.51</v>
      </c>
      <c r="O30" s="32">
        <v>24.97</v>
      </c>
      <c r="P30" s="140">
        <f>O30</f>
        <v>24.97</v>
      </c>
      <c r="Q30" s="140">
        <f>N30</f>
        <v>24.51</v>
      </c>
      <c r="R30" s="140">
        <f>M30</f>
        <v>23.61</v>
      </c>
      <c r="S30" s="140">
        <f>L30</f>
        <v>22.3</v>
      </c>
      <c r="T30" s="140">
        <f>K30</f>
        <v>20.59</v>
      </c>
      <c r="U30" s="140">
        <f>J30</f>
        <v>18.54</v>
      </c>
      <c r="V30" s="140">
        <f>I30</f>
        <v>16.190000000000001</v>
      </c>
      <c r="W30" s="140">
        <f>H30</f>
        <v>13.59</v>
      </c>
      <c r="X30" s="140">
        <f>G30</f>
        <v>10.78</v>
      </c>
      <c r="Y30" s="140">
        <f>F30</f>
        <v>7.81</v>
      </c>
      <c r="Z30" s="16">
        <f>E30</f>
        <v>4.72</v>
      </c>
      <c r="AA30" s="16">
        <f>D30</f>
        <v>1.57</v>
      </c>
    </row>
    <row r="31" spans="1:27" s="11" customFormat="1">
      <c r="A31" t="s">
        <v>669</v>
      </c>
      <c r="B31" s="27" t="s">
        <v>670</v>
      </c>
      <c r="C31"/>
      <c r="D31" s="142">
        <f>((D$30-D$5)*E$6+(E$5-D$30)*D$6)/(E$5-D$5)</f>
        <v>0.32403021896405027</v>
      </c>
      <c r="E31" s="142">
        <f>((E$30-G$5)*H$6+(H$5-E$30)*G$6)/(H$5-G$5)</f>
        <v>0.11667522129409401</v>
      </c>
      <c r="F31" s="142">
        <f>((F$30-I$5)*J$6+(J$5-F$30)*I$6)/(J$5-I$5)</f>
        <v>7.260235149585717E-2</v>
      </c>
      <c r="G31" s="142">
        <f>((G$30-J$5)*K$6+(K$5-G$30)*J$6)/(K$5-J$5)</f>
        <v>5.2901499885948756E-2</v>
      </c>
      <c r="H31" s="142">
        <f>((H$30-J$5)*K$6+(K$5-H$30)*J$6)/(K$5-J$5)</f>
        <v>4.2650688323917399E-2</v>
      </c>
      <c r="I31" s="142">
        <f>((I$30-K$5)*L$6+(L$5-I$30)*K$6)/(L$5-K$5)</f>
        <v>3.6265918169196852E-2</v>
      </c>
      <c r="J31" s="142">
        <f>((J$30-K$5)*L$6+(L$5-J$30)*K$6)/(L$5-K$5)</f>
        <v>3.1953363313999554E-2</v>
      </c>
      <c r="K31" s="142">
        <f>((K$30-K$5)*L$6+(L$5-K$30)*K$6)/(L$5-K$5)</f>
        <v>2.8191347376487014E-2</v>
      </c>
      <c r="L31" s="142">
        <f>((L$30-L$5)*M$6+(M$5-L$30)*L$6)/(M$5-L$5)</f>
        <v>2.6278014359483806E-2</v>
      </c>
      <c r="M31" s="142">
        <f>((M$30-L$5)*M$6+(M$5-M$30)*L$6)/(M$5-L$5)</f>
        <v>2.4881840109987237E-2</v>
      </c>
      <c r="N31" s="142">
        <f>((N$30-L$5)*M$6+(M$5-N$30)*L$6)/(M$5-L$5)</f>
        <v>2.3922636427126998E-2</v>
      </c>
      <c r="O31" s="142">
        <f>((O$30-M$5)*N$6+(N$5-O$30)*M$6)/(N$5-M$5)</f>
        <v>2.3549958316988282E-2</v>
      </c>
      <c r="P31" s="142">
        <f t="shared" si="3"/>
        <v>2.3549958316988282E-2</v>
      </c>
      <c r="Q31" s="142">
        <f t="shared" ref="Q31:Q40" si="27">N31</f>
        <v>2.3922636427126998E-2</v>
      </c>
      <c r="R31" s="142">
        <f t="shared" ref="R31:R40" si="28">M31</f>
        <v>2.4881840109987237E-2</v>
      </c>
      <c r="S31" s="142">
        <f t="shared" ref="S31:S40" si="29">L31</f>
        <v>2.6278014359483806E-2</v>
      </c>
      <c r="T31" s="142">
        <f t="shared" ref="T31:T40" si="30">K31</f>
        <v>2.8191347376487014E-2</v>
      </c>
      <c r="U31" s="142">
        <f t="shared" ref="U31:U40" si="31">J31</f>
        <v>3.1953363313999554E-2</v>
      </c>
      <c r="V31" s="142">
        <f t="shared" ref="V31:V40" si="32">I31</f>
        <v>3.6265918169196852E-2</v>
      </c>
      <c r="W31" s="142">
        <f t="shared" ref="W31:W40" si="33">H31</f>
        <v>4.2650688323917399E-2</v>
      </c>
      <c r="X31" s="142">
        <f t="shared" ref="X31:X40" si="34">G31</f>
        <v>5.2901499885948756E-2</v>
      </c>
      <c r="Y31" s="142">
        <f t="shared" ref="Y31:Y40" si="35">F31</f>
        <v>7.260235149585717E-2</v>
      </c>
      <c r="Z31" s="101">
        <f t="shared" ref="Z31:Z40" si="36">E31</f>
        <v>0.11667522129409401</v>
      </c>
      <c r="AA31" s="101">
        <f t="shared" ref="AA31:AA40" si="37">D31</f>
        <v>0.32403021896405027</v>
      </c>
    </row>
    <row r="32" spans="1:27" s="11" customFormat="1">
      <c r="A32" t="s">
        <v>671</v>
      </c>
      <c r="B32"/>
      <c r="C32"/>
      <c r="D32" s="142">
        <f>((D$30-D$5)*E$7+(E$5-D$30)*D$7)/(E$5-D$5)</f>
        <v>0.84468093560230861</v>
      </c>
      <c r="E32" s="142">
        <f>((E$30-G$5)*H$7+(H$5-E$30)*G$7)/(H$5-G$5)</f>
        <v>0.46005552885710188</v>
      </c>
      <c r="F32" s="142">
        <f>((F$30-I$5)*J$7+(J$5-F$30)*I$7)/(J$5-I$5)</f>
        <v>0.31800702069231457</v>
      </c>
      <c r="G32" s="142">
        <f>((G$30-J$5)*K$7+(K$5-G$30)*J$7)/(K$5-J$5)</f>
        <v>0.23936987823639261</v>
      </c>
      <c r="H32" s="142">
        <f>((H$30-J$5)*K$7+(K$5-H$30)*J$7)/(K$5-J$5)</f>
        <v>0.19845314300821337</v>
      </c>
      <c r="I32" s="142">
        <f>((I$30-K$5)*L$7+(L$5-I$30)*K$7)/(L$5-K$5)</f>
        <v>0.17133609773696387</v>
      </c>
      <c r="J32" s="142">
        <f>((J$30-K$5)*L$7+(L$5-J$30)*K$7)/(L$5-K$5)</f>
        <v>0.1518796750363002</v>
      </c>
      <c r="K32" s="142">
        <f>((K$30-K$5)*L$7+(L$5-K$30)*K$7)/(L$5-K$5)</f>
        <v>0.13490705097827441</v>
      </c>
      <c r="L32" s="142">
        <f>((L$30-L$5)*M$7+(M$5-L$30)*L$7)/(M$5-L$5)</f>
        <v>0.12627490200952873</v>
      </c>
      <c r="M32" s="142">
        <f>((M$30-L$5)*M$7+(M$5-M$30)*L$7)/(M$5-L$5)</f>
        <v>0.11997595457022844</v>
      </c>
      <c r="N32" s="142">
        <f>((N$30-L$5)*M$7+(M$5-N$30)*L$7)/(M$5-L$5)</f>
        <v>0.1156484334287244</v>
      </c>
      <c r="O32" s="142">
        <f>((O$30-M$5)*N$7+(N$5-O$30)*M$7)/(N$5-M$5)</f>
        <v>0.11396706749006169</v>
      </c>
      <c r="P32" s="142">
        <f t="shared" si="3"/>
        <v>0.11396706749006169</v>
      </c>
      <c r="Q32" s="142">
        <f t="shared" si="27"/>
        <v>0.1156484334287244</v>
      </c>
      <c r="R32" s="142">
        <f t="shared" si="28"/>
        <v>0.11997595457022844</v>
      </c>
      <c r="S32" s="142">
        <f t="shared" si="29"/>
        <v>0.12627490200952873</v>
      </c>
      <c r="T32" s="142">
        <f t="shared" si="30"/>
        <v>0.13490705097827441</v>
      </c>
      <c r="U32" s="142">
        <f t="shared" si="31"/>
        <v>0.1518796750363002</v>
      </c>
      <c r="V32" s="142">
        <f t="shared" si="32"/>
        <v>0.17133609773696387</v>
      </c>
      <c r="W32" s="142">
        <f t="shared" si="33"/>
        <v>0.19845314300821337</v>
      </c>
      <c r="X32" s="142">
        <f t="shared" si="34"/>
        <v>0.23936987823639261</v>
      </c>
      <c r="Y32" s="142">
        <f t="shared" si="35"/>
        <v>0.31800702069231457</v>
      </c>
      <c r="Z32" s="101">
        <f t="shared" si="36"/>
        <v>0.46005552885710188</v>
      </c>
      <c r="AA32" s="101">
        <f t="shared" si="37"/>
        <v>0.84468093560230861</v>
      </c>
    </row>
    <row r="33" spans="1:27" s="11" customFormat="1">
      <c r="A33" t="s">
        <v>672</v>
      </c>
      <c r="B33"/>
      <c r="C33"/>
      <c r="D33" s="142">
        <f>((D$30-D$5)*E$8+(E$5-D$30)*D$8)/(E$5-D$5)</f>
        <v>0.99940231486792241</v>
      </c>
      <c r="E33" s="142">
        <f>((E$30-G$5)*H$8+(H$5-E$30)*G$8)/(H$5-G$5)</f>
        <v>0.90943684502336497</v>
      </c>
      <c r="F33" s="142">
        <f>((F$30-I$5)*J$8+(J$5-F$30)*I$8)/(J$5-I$5)</f>
        <v>0.80250063456827847</v>
      </c>
      <c r="G33" s="142">
        <f>((G$30-J$5)*K$8+(K$5-G$30)*J$8)/(K$5-J$5)</f>
        <v>0.6766340875545499</v>
      </c>
      <c r="H33" s="142">
        <f>((H$30-J$5)*K$8+(K$5-H$30)*J$8)/(K$5-J$5)</f>
        <v>0.61114279403339178</v>
      </c>
      <c r="I33" s="142">
        <f>((I$30-K$5)*L$8+(L$5-I$30)*K$8)/(L$5-K$5)</f>
        <v>0.55333005944850033</v>
      </c>
      <c r="J33" s="142">
        <f>((J$30-K$5)*L$8+(L$5-J$30)*K$8)/(L$5-K$5)</f>
        <v>0.50238598909994814</v>
      </c>
      <c r="K33" s="142">
        <f>((K$30-K$5)*L$8+(L$5-K$30)*K$8)/(L$5-K$5)</f>
        <v>0.45794541709376435</v>
      </c>
      <c r="L33" s="142">
        <f>((L$30-L$5)*M$8+(M$5-L$30)*L$8)/(M$5-L$5)</f>
        <v>0.43534327634627934</v>
      </c>
      <c r="M33" s="142">
        <f>((M$30-L$5)*M$8+(M$5-M$30)*L$8)/(M$5-L$5)</f>
        <v>0.41885031531194694</v>
      </c>
      <c r="N33" s="142">
        <f>((N$30-L$5)*M$8+(M$5-N$30)*L$8)/(M$5-L$5)</f>
        <v>0.40751927337996285</v>
      </c>
      <c r="O33" s="142">
        <f>((O$30-M$5)*N$8+(N$5-O$30)*M$8)/(N$5-M$5)</f>
        <v>0.40311683897674788</v>
      </c>
      <c r="P33" s="142">
        <f t="shared" si="3"/>
        <v>0.40311683897674788</v>
      </c>
      <c r="Q33" s="142">
        <f t="shared" si="27"/>
        <v>0.40751927337996285</v>
      </c>
      <c r="R33" s="142">
        <f t="shared" si="28"/>
        <v>0.41885031531194694</v>
      </c>
      <c r="S33" s="142">
        <f t="shared" si="29"/>
        <v>0.43534327634627934</v>
      </c>
      <c r="T33" s="142">
        <f t="shared" si="30"/>
        <v>0.45794541709376435</v>
      </c>
      <c r="U33" s="142">
        <f t="shared" si="31"/>
        <v>0.50238598909994814</v>
      </c>
      <c r="V33" s="142">
        <f t="shared" si="32"/>
        <v>0.55333005944850033</v>
      </c>
      <c r="W33" s="142">
        <f t="shared" si="33"/>
        <v>0.61114279403339178</v>
      </c>
      <c r="X33" s="142">
        <f t="shared" si="34"/>
        <v>0.6766340875545499</v>
      </c>
      <c r="Y33" s="142">
        <f t="shared" si="35"/>
        <v>0.80250063456827847</v>
      </c>
      <c r="Z33" s="101">
        <f t="shared" si="36"/>
        <v>0.90943684502336497</v>
      </c>
      <c r="AA33" s="101">
        <f t="shared" si="37"/>
        <v>0.99940231486792241</v>
      </c>
    </row>
    <row r="34" spans="1:27" s="11" customFormat="1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75"/>
      <c r="V34" s="75"/>
      <c r="W34" s="75"/>
      <c r="X34" s="75"/>
      <c r="Y34" s="75"/>
      <c r="Z34" s="12"/>
      <c r="AA34" s="12"/>
    </row>
    <row r="35" spans="1:27" s="11" customFormat="1">
      <c r="A35" s="16" t="s">
        <v>511</v>
      </c>
      <c r="B35"/>
      <c r="C35"/>
      <c r="D35" s="32">
        <v>1.26</v>
      </c>
      <c r="E35" s="32">
        <v>3.81</v>
      </c>
      <c r="F35" s="32">
        <v>6.3</v>
      </c>
      <c r="G35" s="32">
        <v>8.6999999999999993</v>
      </c>
      <c r="H35" s="32">
        <v>10.96</v>
      </c>
      <c r="I35" s="32">
        <v>13.04</v>
      </c>
      <c r="J35" s="32">
        <v>14.91</v>
      </c>
      <c r="K35" s="32">
        <v>16.54</v>
      </c>
      <c r="L35" s="32">
        <v>17.88</v>
      </c>
      <c r="M35" s="32">
        <v>18.920000000000002</v>
      </c>
      <c r="N35" s="32">
        <v>19.62</v>
      </c>
      <c r="O35" s="32">
        <v>19.98</v>
      </c>
      <c r="P35" s="140">
        <f t="shared" si="3"/>
        <v>19.98</v>
      </c>
      <c r="Q35" s="140">
        <f t="shared" si="27"/>
        <v>19.62</v>
      </c>
      <c r="R35" s="140">
        <f t="shared" si="28"/>
        <v>18.920000000000002</v>
      </c>
      <c r="S35" s="140">
        <f t="shared" si="29"/>
        <v>17.88</v>
      </c>
      <c r="T35" s="140">
        <f t="shared" si="30"/>
        <v>16.54</v>
      </c>
      <c r="U35" s="140">
        <f t="shared" si="31"/>
        <v>14.91</v>
      </c>
      <c r="V35" s="140">
        <f t="shared" si="32"/>
        <v>13.04</v>
      </c>
      <c r="W35" s="140">
        <f t="shared" si="33"/>
        <v>10.96</v>
      </c>
      <c r="X35" s="140">
        <f t="shared" si="34"/>
        <v>8.6999999999999993</v>
      </c>
      <c r="Y35" s="140">
        <f t="shared" si="35"/>
        <v>6.3</v>
      </c>
      <c r="Z35" s="16">
        <f t="shared" si="36"/>
        <v>3.81</v>
      </c>
      <c r="AA35" s="16">
        <f t="shared" si="37"/>
        <v>1.26</v>
      </c>
    </row>
    <row r="36" spans="1:27" s="11" customFormat="1">
      <c r="A36" t="s">
        <v>669</v>
      </c>
      <c r="B36" s="27" t="s">
        <v>670</v>
      </c>
      <c r="C36"/>
      <c r="D36" s="142">
        <f>((D$35-D$5)*E$6+(E$5-D$35)*D$6)/(E$5-D$5)</f>
        <v>0.39309054635400598</v>
      </c>
      <c r="E36" s="142">
        <f>((E$35-G$5)*H$6+(H$5-E$35)*G$6)/(H$5-G$5)</f>
        <v>0.14233803273306531</v>
      </c>
      <c r="F36" s="142">
        <f>((F$35-H$5)*I$6+(I$5-F$35)*H$6)/(I$5-H$5)</f>
        <v>8.9574775768621245E-2</v>
      </c>
      <c r="G36" s="142">
        <f>((G$35-I$5)*J$6+(J$5-G$35)*I$6)/(J$5-I$5)</f>
        <v>6.6029130658018714E-2</v>
      </c>
      <c r="H36" s="142">
        <f>((H$35-J$5)*K$6+(K$5-H$35)*J$6)/(K$5-J$5)</f>
        <v>5.2244864269875568E-2</v>
      </c>
      <c r="I36" s="142">
        <f>((I$35-J$5)*K$6+(K$5-I$35)*J$6)/(K$5-J$5)</f>
        <v>4.4657074928585463E-2</v>
      </c>
      <c r="J36" s="142">
        <f>((J$35-K$5)*L$6+(L$5-J$35)*K$6)/(L$5-K$5)</f>
        <v>3.8614884217985181E-2</v>
      </c>
      <c r="K36" s="142">
        <f>((K$35-K$5)*L$6+(L$5-K$35)*K$6)/(L$5-K$5)</f>
        <v>3.5623622765231303E-2</v>
      </c>
      <c r="L36" s="142">
        <f>((L$35-K$5)*L$6+(L$5-L$35)*K$6)/(L$5-K$5)</f>
        <v>3.3164548932906032E-2</v>
      </c>
      <c r="M36" s="142">
        <f>((M$35-K$5)*L$6+(L$5-M$35)*K$6)/(L$5-K$5)</f>
        <v>3.125601401826552E-2</v>
      </c>
      <c r="N36" s="142">
        <f>((N$35-K$5)*L$6+(L$5-N$35)*K$6)/(L$5-K$5)</f>
        <v>2.997142321033441E-2</v>
      </c>
      <c r="O36" s="142">
        <f>((O$35-K$5)*L$6+(L$5-O$35)*K$6)/(L$5-K$5)</f>
        <v>2.9310776509112693E-2</v>
      </c>
      <c r="P36" s="142">
        <f t="shared" si="3"/>
        <v>2.9310776509112693E-2</v>
      </c>
      <c r="Q36" s="142">
        <f t="shared" si="27"/>
        <v>2.997142321033441E-2</v>
      </c>
      <c r="R36" s="142">
        <f t="shared" si="28"/>
        <v>3.125601401826552E-2</v>
      </c>
      <c r="S36" s="142">
        <f t="shared" si="29"/>
        <v>3.3164548932906032E-2</v>
      </c>
      <c r="T36" s="142">
        <f t="shared" si="30"/>
        <v>3.5623622765231303E-2</v>
      </c>
      <c r="U36" s="142">
        <f t="shared" si="31"/>
        <v>3.8614884217985181E-2</v>
      </c>
      <c r="V36" s="142">
        <f t="shared" si="32"/>
        <v>4.4657074928585463E-2</v>
      </c>
      <c r="W36" s="142">
        <f t="shared" si="33"/>
        <v>5.2244864269875568E-2</v>
      </c>
      <c r="X36" s="142">
        <f t="shared" si="34"/>
        <v>6.6029130658018714E-2</v>
      </c>
      <c r="Y36" s="142">
        <f t="shared" si="35"/>
        <v>8.9574775768621245E-2</v>
      </c>
      <c r="Z36" s="101">
        <f t="shared" si="36"/>
        <v>0.14233803273306531</v>
      </c>
      <c r="AA36" s="101">
        <f t="shared" si="37"/>
        <v>0.39309054635400598</v>
      </c>
    </row>
    <row r="37" spans="1:27" s="11" customFormat="1">
      <c r="A37" t="s">
        <v>671</v>
      </c>
      <c r="B37"/>
      <c r="C37"/>
      <c r="D37" s="142">
        <f>((D$35-D$5)*E$7+(E$5-D$35)*D$7)/(E$5-D$5)</f>
        <v>0.89877934568799511</v>
      </c>
      <c r="E37" s="142">
        <f>((E$35-G$5)*H$7+(H$5-E$35)*G$7)/(H$5-G$5)</f>
        <v>0.54043977688093425</v>
      </c>
      <c r="F37" s="142">
        <f>((F$35-H$5)*I$7+(I$5-F$35)*H$7)/(I$5-H$5)</f>
        <v>0.37516814464136511</v>
      </c>
      <c r="G37" s="142">
        <f>((G$35-I$5)*J$7+(J$5-G$35)*I$7)/(J$5-I$5)</f>
        <v>0.29176961158664089</v>
      </c>
      <c r="H37" s="142">
        <f>((H$35-J$5)*K$7+(K$5-H$35)*J$7)/(K$5-J$5)</f>
        <v>0.2367488774032708</v>
      </c>
      <c r="I37" s="142">
        <f>((I$35-J$5)*K$7+(K$5-I$35)*J$7)/(K$5-J$5)</f>
        <v>0.20646175666497443</v>
      </c>
      <c r="J37" s="142">
        <f>((J$35-K$5)*L$7+(L$5-J$35)*K$7)/(L$5-K$5)</f>
        <v>0.18193363861221898</v>
      </c>
      <c r="K37" s="142">
        <f>((K$35-K$5)*L$7+(L$5-K$35)*K$7)/(L$5-K$5)</f>
        <v>0.1684383326538863</v>
      </c>
      <c r="L37" s="142">
        <f>((L$35-K$5)*L$7+(L$5-L$35)*K$7)/(L$5-K$5)</f>
        <v>0.15734403205010361</v>
      </c>
      <c r="M37" s="142">
        <f>((M$35-K$5)*L$7+(L$5-M$35)*K$7)/(L$5-K$5)</f>
        <v>0.14873353008895882</v>
      </c>
      <c r="N37" s="142">
        <f>((N$35-K$5)*L$7+(L$5-N$35)*K$7)/(L$5-K$5)</f>
        <v>0.1429379999228037</v>
      </c>
      <c r="O37" s="142">
        <f>((O$35-K$5)*L$7+(L$5-O$35)*K$7)/(L$5-K$5)</f>
        <v>0.13995744155163817</v>
      </c>
      <c r="P37" s="142">
        <f t="shared" si="3"/>
        <v>0.13995744155163817</v>
      </c>
      <c r="Q37" s="142">
        <f t="shared" si="27"/>
        <v>0.1429379999228037</v>
      </c>
      <c r="R37" s="142">
        <f t="shared" si="28"/>
        <v>0.14873353008895882</v>
      </c>
      <c r="S37" s="142">
        <f t="shared" si="29"/>
        <v>0.15734403205010361</v>
      </c>
      <c r="T37" s="142">
        <f t="shared" si="30"/>
        <v>0.1684383326538863</v>
      </c>
      <c r="U37" s="142">
        <f t="shared" si="31"/>
        <v>0.18193363861221898</v>
      </c>
      <c r="V37" s="142">
        <f t="shared" si="32"/>
        <v>0.20646175666497443</v>
      </c>
      <c r="W37" s="142">
        <f t="shared" si="33"/>
        <v>0.2367488774032708</v>
      </c>
      <c r="X37" s="142">
        <f t="shared" si="34"/>
        <v>0.29176961158664089</v>
      </c>
      <c r="Y37" s="142">
        <f t="shared" si="35"/>
        <v>0.37516814464136511</v>
      </c>
      <c r="Z37" s="101">
        <f t="shared" si="36"/>
        <v>0.54043977688093425</v>
      </c>
      <c r="AA37" s="101">
        <f t="shared" si="37"/>
        <v>0.89877934568799511</v>
      </c>
    </row>
    <row r="38" spans="1:27" s="11" customFormat="1">
      <c r="A38" t="s">
        <v>672</v>
      </c>
      <c r="B38"/>
      <c r="C38"/>
      <c r="D38" s="142">
        <f>((D$35-D$5)*E$8+(E$5-D$35)*D$8)/(E$5-D$5)</f>
        <v>0.99967651901724131</v>
      </c>
      <c r="E38" s="142">
        <f>((E$35-G$5)*H$8+(H$5-E$35)*G$8)/(H$5-G$5)</f>
        <v>0.95970078143758464</v>
      </c>
      <c r="F38" s="142">
        <f>((F$35-H$5)*I$8+(I$5-F$35)*H$8)/(I$5-H$5)</f>
        <v>0.85635711625207411</v>
      </c>
      <c r="G38" s="142">
        <f>((G$35-I$5)*J$8+(J$5-G$35)*I$8)/(J$5-I$5)</f>
        <v>0.76050505864092588</v>
      </c>
      <c r="H38" s="142">
        <f>((H$35-J$5)*K$8+(K$5-H$35)*J$8)/(K$5-J$5)</f>
        <v>0.67243891572757175</v>
      </c>
      <c r="I38" s="142">
        <f>((I$35-J$5)*K$8+(K$5-I$35)*J$8)/(K$5-J$5)</f>
        <v>0.6239613746158249</v>
      </c>
      <c r="J38" s="142">
        <f>((J$35-K$5)*L$8+(L$5-J$35)*K$8)/(L$5-K$5)</f>
        <v>0.58107831904260543</v>
      </c>
      <c r="K38" s="142">
        <f>((K$35-K$5)*L$8+(L$5-K$35)*K$8)/(L$5-K$5)</f>
        <v>0.5457426447157373</v>
      </c>
      <c r="L38" s="142">
        <f>((L$35-K$5)*L$8+(L$5-L$35)*K$8)/(L$5-K$5)</f>
        <v>0.51669368545315864</v>
      </c>
      <c r="M38" s="142">
        <f>((M$35-K$5)*L$8+(L$5-M$35)*K$8)/(L$5-K$5)</f>
        <v>0.49414822453294821</v>
      </c>
      <c r="N38" s="142">
        <f>((N$35-K$5)*L$8+(L$5-N$35)*K$8)/(L$5-K$5)</f>
        <v>0.47897339506742198</v>
      </c>
      <c r="O38" s="142">
        <f>((O$35-K$5)*L$8+(L$5-O$35)*K$8)/(L$5-K$5)</f>
        <v>0.47116919705658</v>
      </c>
      <c r="P38" s="142">
        <f t="shared" si="3"/>
        <v>0.47116919705658</v>
      </c>
      <c r="Q38" s="142">
        <f t="shared" si="27"/>
        <v>0.47897339506742198</v>
      </c>
      <c r="R38" s="142">
        <f t="shared" si="28"/>
        <v>0.49414822453294821</v>
      </c>
      <c r="S38" s="142">
        <f t="shared" si="29"/>
        <v>0.51669368545315864</v>
      </c>
      <c r="T38" s="142">
        <f t="shared" si="30"/>
        <v>0.5457426447157373</v>
      </c>
      <c r="U38" s="142">
        <f t="shared" si="31"/>
        <v>0.58107831904260543</v>
      </c>
      <c r="V38" s="142">
        <f t="shared" si="32"/>
        <v>0.6239613746158249</v>
      </c>
      <c r="W38" s="142">
        <f t="shared" si="33"/>
        <v>0.67243891572757175</v>
      </c>
      <c r="X38" s="142">
        <f t="shared" si="34"/>
        <v>0.76050505864092588</v>
      </c>
      <c r="Y38" s="142">
        <f t="shared" si="35"/>
        <v>0.85635711625207411</v>
      </c>
      <c r="Z38" s="101">
        <f t="shared" si="36"/>
        <v>0.95970078143758464</v>
      </c>
      <c r="AA38" s="101">
        <f t="shared" si="37"/>
        <v>0.99967651901724131</v>
      </c>
    </row>
    <row r="39" spans="1:27" s="11" customFormat="1">
      <c r="A39" s="16"/>
      <c r="B39"/>
      <c r="C39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12"/>
      <c r="AA39" s="12"/>
    </row>
    <row r="40" spans="1:27" s="11" customFormat="1">
      <c r="A40" s="16" t="s">
        <v>512</v>
      </c>
      <c r="B40"/>
      <c r="C40"/>
      <c r="D40" s="32">
        <v>0.93</v>
      </c>
      <c r="E40" s="32">
        <v>2.87</v>
      </c>
      <c r="F40" s="32">
        <v>4.75</v>
      </c>
      <c r="G40" s="32">
        <v>6.56</v>
      </c>
      <c r="H40" s="32">
        <v>8.26</v>
      </c>
      <c r="I40" s="32">
        <v>9.82</v>
      </c>
      <c r="J40" s="32">
        <v>11.22</v>
      </c>
      <c r="K40" s="32">
        <v>12.43</v>
      </c>
      <c r="L40" s="32">
        <v>13.43</v>
      </c>
      <c r="M40" s="32">
        <v>14.2</v>
      </c>
      <c r="N40" s="32">
        <v>14.73</v>
      </c>
      <c r="O40" s="32">
        <v>14.99</v>
      </c>
      <c r="P40" s="140">
        <f t="shared" si="3"/>
        <v>14.99</v>
      </c>
      <c r="Q40" s="140">
        <f t="shared" si="27"/>
        <v>14.73</v>
      </c>
      <c r="R40" s="140">
        <f t="shared" si="28"/>
        <v>14.2</v>
      </c>
      <c r="S40" s="140">
        <f t="shared" si="29"/>
        <v>13.43</v>
      </c>
      <c r="T40" s="140">
        <f t="shared" si="30"/>
        <v>12.43</v>
      </c>
      <c r="U40" s="140">
        <f t="shared" si="31"/>
        <v>11.22</v>
      </c>
      <c r="V40" s="140">
        <f t="shared" si="32"/>
        <v>9.82</v>
      </c>
      <c r="W40" s="140">
        <f t="shared" si="33"/>
        <v>8.26</v>
      </c>
      <c r="X40" s="140">
        <f t="shared" si="34"/>
        <v>6.56</v>
      </c>
      <c r="Y40" s="140">
        <f t="shared" si="35"/>
        <v>4.75</v>
      </c>
      <c r="Z40" s="16">
        <f t="shared" si="36"/>
        <v>2.87</v>
      </c>
      <c r="AA40" s="16">
        <f t="shared" si="37"/>
        <v>0.93</v>
      </c>
    </row>
    <row r="41" spans="1:27" s="11" customFormat="1">
      <c r="A41" t="s">
        <v>669</v>
      </c>
      <c r="B41" s="27" t="s">
        <v>670</v>
      </c>
      <c r="C41"/>
      <c r="D41" s="142">
        <f>((D$40-D$5)*E$6+(E$5-D$40)*D$6)/(E$5-D$5)</f>
        <v>0.46660637873686195</v>
      </c>
      <c r="E41" s="142">
        <f>((E$40-F$5)*G$6+(G$5-E$40)*F$6)/(G$5-F$5)</f>
        <v>0.18422836544877791</v>
      </c>
      <c r="F41" s="142">
        <f>((F$40-G$5)*H$6+(H$5-F$40)*G$6)/(H$5-G$5)</f>
        <v>0.11582919454335867</v>
      </c>
      <c r="G41" s="142">
        <f>((G$40-H$5)*I$6+(I$5-G$40)*H$6)/(I$5-H$5)</f>
        <v>8.5934932301461278E-2</v>
      </c>
      <c r="H41" s="142">
        <f>((H$40-I$5)*J$6+(J$5-H$40)*I$6)/(J$5-I$5)</f>
        <v>6.9278812869983789E-2</v>
      </c>
      <c r="I41" s="142">
        <f>((I$40-I$5)*J$6+(J$5-I$40)*I$6)/(J$5-I$5)</f>
        <v>5.7757212300289414E-2</v>
      </c>
      <c r="J41" s="142">
        <f>((J$40-J$5)*K$6+(K$5-J$40)*J$6)/(K$5-J$5)</f>
        <v>5.1296390602214303E-2</v>
      </c>
      <c r="K41" s="142">
        <f>((K$40-J$5)*K$6+(K$5-K$40)*J$6)/(K$5-J$5)</f>
        <v>4.6882340071944584E-2</v>
      </c>
      <c r="L41" s="142">
        <f>((L$40-J$5)*K$6+(K$5-L$40)*J$6)/(K$5-J$5)</f>
        <v>4.3234364427093566E-2</v>
      </c>
      <c r="M41" s="142">
        <f>((M$40-J$5)*K$6+(K$5-M$40)*J$6)/(K$5-J$5)</f>
        <v>4.0425423180558293E-2</v>
      </c>
      <c r="N41" s="142">
        <f>((N$40-K$5)*L$6+(L$5-N$40)*K$6)/(L$5-K$5)</f>
        <v>3.8945207568596034E-2</v>
      </c>
      <c r="O41" s="142">
        <f>((O$40-K$5)*L$6+(L$5-O$40)*K$6)/(L$5-K$5)</f>
        <v>3.8468073839935904E-2</v>
      </c>
      <c r="P41" s="142">
        <f>O41</f>
        <v>3.8468073839935904E-2</v>
      </c>
      <c r="Q41" s="142">
        <f>N41</f>
        <v>3.8945207568596034E-2</v>
      </c>
      <c r="R41" s="142">
        <f>M41</f>
        <v>4.0425423180558293E-2</v>
      </c>
      <c r="S41" s="142">
        <f>L41</f>
        <v>4.3234364427093566E-2</v>
      </c>
      <c r="T41" s="142">
        <f>K41</f>
        <v>4.6882340071944584E-2</v>
      </c>
      <c r="U41" s="142">
        <f>J41</f>
        <v>5.1296390602214303E-2</v>
      </c>
      <c r="V41" s="142">
        <f>I41</f>
        <v>5.7757212300289414E-2</v>
      </c>
      <c r="W41" s="142">
        <f>H41</f>
        <v>6.9278812869983789E-2</v>
      </c>
      <c r="X41" s="142">
        <f>G41</f>
        <v>8.5934932301461278E-2</v>
      </c>
      <c r="Y41" s="142">
        <f>F41</f>
        <v>0.11582919454335867</v>
      </c>
      <c r="Z41" s="101">
        <f>E41</f>
        <v>0.18422836544877791</v>
      </c>
      <c r="AA41" s="101">
        <f>D41</f>
        <v>0.46660637873686195</v>
      </c>
    </row>
    <row r="42" spans="1:27" s="11" customFormat="1">
      <c r="A42" t="s">
        <v>671</v>
      </c>
      <c r="B42"/>
      <c r="C42"/>
      <c r="D42" s="142">
        <f>((D$40-D$5)*E$7+(E$5-D$40)*D$7)/(E$5-D$5)</f>
        <v>0.95636797577920973</v>
      </c>
      <c r="E42" s="142">
        <f>((E$40-F$5)*G$7+(G$5-E$40)*F$7)/(G$5-F$5)</f>
        <v>0.6294004046955366</v>
      </c>
      <c r="F42" s="142">
        <f>((F$40-G$5)*H$7+(H$5-F$40)*G$7)/(H$5-G$5)</f>
        <v>0.45740549870246999</v>
      </c>
      <c r="G42" s="142">
        <f>((G$40-H$5)*I$7+(I$5-G$40)*H$7)/(I$5-H$5)</f>
        <v>0.36376697448010242</v>
      </c>
      <c r="H42" s="142">
        <f>((H$40-I$5)*J$7+(J$5-H$40)*I$7)/(J$5-I$5)</f>
        <v>0.30474091496472677</v>
      </c>
      <c r="I42" s="142">
        <f>((I$40-I$5)*J$7+(J$5-I$40)*I$7)/(J$5-I$5)</f>
        <v>0.25875174844242227</v>
      </c>
      <c r="J42" s="142">
        <f>((J$40-J$5)*K$7+(K$5-J$40)*J$7)/(K$5-J$5)</f>
        <v>0.23296298731098372</v>
      </c>
      <c r="K42" s="142">
        <f>((K$40-J$5)*K$7+(K$5-K$40)*J$7)/(K$5-J$5)</f>
        <v>0.21534403726610943</v>
      </c>
      <c r="L42" s="142">
        <f>((L$40-J$5)*K$7+(K$5-L$40)*J$7)/(K$5-J$5)</f>
        <v>0.20078292152654387</v>
      </c>
      <c r="M42" s="142">
        <f>((M$40-J$5)*K$7+(K$5-M$40)*J$7)/(K$5-J$5)</f>
        <v>0.18957086240707841</v>
      </c>
      <c r="N42" s="142">
        <f>((N$40-K$5)*L$7+(L$5-N$40)*K$7)/(L$5-K$5)</f>
        <v>0.18342391779780173</v>
      </c>
      <c r="O42" s="142">
        <f>((O$40-K$5)*L$7+(L$5-O$40)*K$7)/(L$5-K$5)</f>
        <v>0.18127129230751557</v>
      </c>
      <c r="P42" s="142">
        <f>O42</f>
        <v>0.18127129230751557</v>
      </c>
      <c r="Q42" s="142">
        <f>N42</f>
        <v>0.18342391779780173</v>
      </c>
      <c r="R42" s="142">
        <f>M42</f>
        <v>0.18957086240707841</v>
      </c>
      <c r="S42" s="142">
        <f>L42</f>
        <v>0.20078292152654387</v>
      </c>
      <c r="T42" s="142">
        <f>K42</f>
        <v>0.21534403726610943</v>
      </c>
      <c r="U42" s="142">
        <f>J42</f>
        <v>0.23296298731098372</v>
      </c>
      <c r="V42" s="142">
        <f>I42</f>
        <v>0.25875174844242227</v>
      </c>
      <c r="W42" s="142">
        <f>H42</f>
        <v>0.30474091496472677</v>
      </c>
      <c r="X42" s="142">
        <f>G42</f>
        <v>0.36376697448010242</v>
      </c>
      <c r="Y42" s="142">
        <f>F42</f>
        <v>0.45740549870246999</v>
      </c>
      <c r="Z42" s="101">
        <f>E42</f>
        <v>0.6294004046955366</v>
      </c>
      <c r="AA42" s="101">
        <f>D42</f>
        <v>0.95636797577920973</v>
      </c>
    </row>
    <row r="43" spans="1:27" s="11" customFormat="1">
      <c r="A43" t="s">
        <v>672</v>
      </c>
      <c r="B43"/>
      <c r="C43"/>
      <c r="D43" s="142">
        <f>((D$40-D$5)*E$8+(E$5-D$40)*D$8)/(E$5-D$5)</f>
        <v>0.99996841375683887</v>
      </c>
      <c r="E43" s="142">
        <f>((E$40-F$5)*G$8+(G$5-E$40)*F$8)/(G$5-F$5)</f>
        <v>0.97957089078248227</v>
      </c>
      <c r="F43" s="142">
        <f>((F$40-G$5)*H$8+(H$5-F$40)*G$8)/(H$5-G$5)</f>
        <v>0.90777979217454474</v>
      </c>
      <c r="G43" s="142">
        <f>((G$40-H$5)*I$8+(I$5-G$40)*H$8)/(I$5-H$5)</f>
        <v>0.84922801190487041</v>
      </c>
      <c r="H43" s="142">
        <f>((H$40-I$5)*J$8+(J$5-H$40)*I$8)/(J$5-I$5)</f>
        <v>0.78126691640276325</v>
      </c>
      <c r="I43" s="142">
        <f>((I$40-I$5)*J$8+(J$5-I$40)*I$8)/(J$5-I$5)</f>
        <v>0.70765669342897664</v>
      </c>
      <c r="J43" s="142">
        <f>((J$40-J$5)*K$8+(K$5-J$40)*J$8)/(K$5-J$5)</f>
        <v>0.66637922308860342</v>
      </c>
      <c r="K43" s="142">
        <f>((K$40-J$5)*K$8+(K$5-K$40)*J$8)/(K$5-J$5)</f>
        <v>0.63817834580725064</v>
      </c>
      <c r="L43" s="142">
        <f>((L$40-J$5)*K$8+(K$5-L$40)*J$8)/(K$5-J$5)</f>
        <v>0.61487183565737225</v>
      </c>
      <c r="M43" s="142">
        <f>((M$40-J$5)*K$8+(K$5-M$40)*J$8)/(K$5-J$5)</f>
        <v>0.59692582284196594</v>
      </c>
      <c r="N43" s="142">
        <f>((N$40-K$5)*L$8+(L$5-N$40)*K$8)/(L$5-K$5)</f>
        <v>0.58498041804802636</v>
      </c>
      <c r="O43" s="142">
        <f>((O$40-K$5)*L$8+(L$5-O$40)*K$8)/(L$5-K$5)</f>
        <v>0.57934405281797385</v>
      </c>
      <c r="P43" s="142">
        <f t="shared" ref="P43:P52" si="38">O43</f>
        <v>0.57934405281797385</v>
      </c>
      <c r="Q43" s="142">
        <f t="shared" ref="Q43:Q52" si="39">N43</f>
        <v>0.58498041804802636</v>
      </c>
      <c r="R43" s="142">
        <f t="shared" ref="R43:R52" si="40">M43</f>
        <v>0.59692582284196594</v>
      </c>
      <c r="S43" s="142">
        <f t="shared" ref="S43:S52" si="41">L43</f>
        <v>0.61487183565737225</v>
      </c>
      <c r="T43" s="142">
        <f t="shared" ref="T43:T52" si="42">K43</f>
        <v>0.63817834580725064</v>
      </c>
      <c r="U43" s="142">
        <f t="shared" ref="U43:U52" si="43">J43</f>
        <v>0.66637922308860342</v>
      </c>
      <c r="V43" s="142">
        <f t="shared" ref="V43:V52" si="44">I43</f>
        <v>0.70765669342897664</v>
      </c>
      <c r="W43" s="142">
        <f t="shared" ref="W43:W52" si="45">H43</f>
        <v>0.78126691640276325</v>
      </c>
      <c r="X43" s="142">
        <f t="shared" ref="X43:X52" si="46">G43</f>
        <v>0.84922801190487041</v>
      </c>
      <c r="Y43" s="142">
        <f t="shared" ref="Y43:Y52" si="47">F43</f>
        <v>0.90777979217454474</v>
      </c>
      <c r="Z43" s="101">
        <f t="shared" ref="Z43:Z52" si="48">E43</f>
        <v>0.97957089078248227</v>
      </c>
      <c r="AA43" s="101">
        <f t="shared" ref="AA43:AA52" si="49">D43</f>
        <v>0.99996841375683887</v>
      </c>
    </row>
    <row r="44" spans="1:27" s="11" customFormat="1">
      <c r="A44" s="16"/>
      <c r="B44"/>
      <c r="C44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12"/>
      <c r="AA44" s="12"/>
    </row>
    <row r="45" spans="1:27" s="11" customFormat="1">
      <c r="A45" s="16" t="s">
        <v>513</v>
      </c>
      <c r="B45"/>
      <c r="C45"/>
      <c r="D45" s="32">
        <v>0.6</v>
      </c>
      <c r="E45" s="32">
        <v>1.9</v>
      </c>
      <c r="F45" s="32">
        <v>3.17</v>
      </c>
      <c r="G45" s="32">
        <v>4.38</v>
      </c>
      <c r="H45" s="32">
        <v>5.52</v>
      </c>
      <c r="I45" s="32">
        <v>6.56</v>
      </c>
      <c r="J45" s="32">
        <v>7.5</v>
      </c>
      <c r="K45" s="32">
        <v>8.3000000000000007</v>
      </c>
      <c r="L45" s="32">
        <v>8.9700000000000006</v>
      </c>
      <c r="M45" s="32">
        <v>9.48</v>
      </c>
      <c r="N45" s="32">
        <v>9.82</v>
      </c>
      <c r="O45" s="32">
        <v>10</v>
      </c>
      <c r="P45" s="140">
        <f t="shared" si="38"/>
        <v>10</v>
      </c>
      <c r="Q45" s="140">
        <f t="shared" si="39"/>
        <v>9.82</v>
      </c>
      <c r="R45" s="140">
        <f t="shared" si="40"/>
        <v>9.48</v>
      </c>
      <c r="S45" s="140">
        <f t="shared" si="41"/>
        <v>8.9700000000000006</v>
      </c>
      <c r="T45" s="140">
        <f t="shared" si="42"/>
        <v>8.3000000000000007</v>
      </c>
      <c r="U45" s="140">
        <f t="shared" si="43"/>
        <v>7.5</v>
      </c>
      <c r="V45" s="140">
        <f t="shared" si="44"/>
        <v>6.56</v>
      </c>
      <c r="W45" s="140">
        <f t="shared" si="45"/>
        <v>5.52</v>
      </c>
      <c r="X45" s="140">
        <f t="shared" si="46"/>
        <v>4.38</v>
      </c>
      <c r="Y45" s="140">
        <f t="shared" si="47"/>
        <v>3.17</v>
      </c>
      <c r="Z45" s="16">
        <f t="shared" si="48"/>
        <v>1.9</v>
      </c>
      <c r="AA45" s="16">
        <f t="shared" si="49"/>
        <v>0.6</v>
      </c>
    </row>
    <row r="46" spans="1:27" s="11" customFormat="1">
      <c r="A46" t="s">
        <v>669</v>
      </c>
      <c r="B46" s="27" t="s">
        <v>670</v>
      </c>
      <c r="C46"/>
      <c r="D46" s="142">
        <f>((D$45-C$5)*D$6+(D$5-D$45)*C$6)/(D$5-C$5)</f>
        <v>0.63859262374402315</v>
      </c>
      <c r="E46" s="142">
        <f>((E$45-E$5)*F$6+(F$5-E$45)*E$6)/(F$5-E$5)</f>
        <v>0.26405110428638667</v>
      </c>
      <c r="F46" s="142">
        <f>((F$45-F$5)*G$6+(G$5-F$45)*F$6)/(G$5-F$5)</f>
        <v>0.16935914188892226</v>
      </c>
      <c r="G46" s="142">
        <f>((G$45-G$5)*H$6+(H$5-G$45)*G$6)/(H$5-G$5)</f>
        <v>0.12626352446909428</v>
      </c>
      <c r="H46" s="142">
        <f>((H$45-H$5)*I$6+(I$5-H$45)*H$6)/(I$5-H$5)</f>
        <v>0.10049430617010105</v>
      </c>
      <c r="I46" s="142">
        <f>((I$45-H$5)*I$6+(I$5-I$45)*H$6)/(I$5-H$5)</f>
        <v>8.5934932301461278E-2</v>
      </c>
      <c r="J46" s="142">
        <f>((J$45-I$5)*J$6+(J$5-J$45)*I$6)/(J$5-I$5)</f>
        <v>7.4891900327014371E-2</v>
      </c>
      <c r="K46" s="142">
        <f>((K$45-I$5)*J$6+(J$5-K$45)*I$6)/(J$5-I$5)</f>
        <v>6.8983387214350586E-2</v>
      </c>
      <c r="L46" s="142">
        <f>((L$45-I$5)*J$6+(J$5-L$45)*I$6)/(J$5-I$5)</f>
        <v>6.403500748249466E-2</v>
      </c>
      <c r="M46" s="142">
        <f>((M$45-I$5)*J$6+(J$5-M$45)*I$6)/(J$5-I$5)</f>
        <v>6.0268330373171509E-2</v>
      </c>
      <c r="N46" s="142">
        <f>((N$45-I$5)*J$6+(J$5-N$45)*I$6)/(J$5-I$5)</f>
        <v>5.7757212300289414E-2</v>
      </c>
      <c r="O46" s="142">
        <f>((O$45-I$5)*J$6+(J$5-O$45)*I$6)/(J$5-I$5)</f>
        <v>5.6427796849940058E-2</v>
      </c>
      <c r="P46" s="142">
        <f t="shared" si="38"/>
        <v>5.6427796849940058E-2</v>
      </c>
      <c r="Q46" s="142">
        <f t="shared" si="39"/>
        <v>5.7757212300289414E-2</v>
      </c>
      <c r="R46" s="142">
        <f t="shared" si="40"/>
        <v>6.0268330373171509E-2</v>
      </c>
      <c r="S46" s="142">
        <f t="shared" si="41"/>
        <v>6.403500748249466E-2</v>
      </c>
      <c r="T46" s="142">
        <f t="shared" si="42"/>
        <v>6.8983387214350586E-2</v>
      </c>
      <c r="U46" s="142">
        <f t="shared" si="43"/>
        <v>7.4891900327014371E-2</v>
      </c>
      <c r="V46" s="142">
        <f t="shared" si="44"/>
        <v>8.5934932301461278E-2</v>
      </c>
      <c r="W46" s="142">
        <f t="shared" si="45"/>
        <v>0.10049430617010105</v>
      </c>
      <c r="X46" s="142">
        <f t="shared" si="46"/>
        <v>0.12626352446909428</v>
      </c>
      <c r="Y46" s="142">
        <f t="shared" si="47"/>
        <v>0.16935914188892226</v>
      </c>
      <c r="Z46" s="101">
        <f t="shared" si="48"/>
        <v>0.26405110428638667</v>
      </c>
      <c r="AA46" s="101">
        <f t="shared" si="49"/>
        <v>0.63859262374402315</v>
      </c>
    </row>
    <row r="47" spans="1:27" s="11" customFormat="1">
      <c r="A47" t="s">
        <v>671</v>
      </c>
      <c r="B47"/>
      <c r="C47"/>
      <c r="D47" s="142">
        <f>((D$45-C$5)*D$7+(D$5-D$45)*C$7)/(D$5-C$5)</f>
        <v>0.98625765334543836</v>
      </c>
      <c r="E47" s="142">
        <f>((E$45-E$5)*F$7+(F$5-E$45)*E$7)/(F$5-E$5)</f>
        <v>0.78491854018089668</v>
      </c>
      <c r="F47" s="142">
        <f>((F$45-F$5)*G$7+(G$5-F$45)*F$7)/(G$5-F$5)</f>
        <v>0.6004307908008274</v>
      </c>
      <c r="G47" s="142">
        <f>((G$45-G$5)*H$7+(H$5-G$45)*G$7)/(H$5-G$5)</f>
        <v>0.49008920394292926</v>
      </c>
      <c r="H47" s="142">
        <f>((H$45-H$5)*I$7+(I$5-H$45)*H$7)/(I$5-H$5)</f>
        <v>0.40937165512515317</v>
      </c>
      <c r="I47" s="142">
        <f>((I$45-H$5)*I$7+(I$5-I$45)*H$7)/(I$5-H$5)</f>
        <v>0.36376697448010242</v>
      </c>
      <c r="J47" s="142">
        <f>((J$45-I$5)*J$7+(J$5-J$45)*I$7)/(J$5-I$5)</f>
        <v>0.32714589352687506</v>
      </c>
      <c r="K47" s="142">
        <f>((K$45-I$5)*J$7+(J$5-K$45)*I$7)/(J$5-I$5)</f>
        <v>0.30356170556671885</v>
      </c>
      <c r="L47" s="142">
        <f>((L$45-I$5)*J$7+(J$5-L$45)*I$7)/(J$5-I$5)</f>
        <v>0.28380994815008814</v>
      </c>
      <c r="M47" s="142">
        <f>((M$45-I$5)*J$7+(J$5-M$45)*I$7)/(J$5-I$5)</f>
        <v>0.26877502832548861</v>
      </c>
      <c r="N47" s="142">
        <f>((N$45-I$5)*J$7+(J$5-N$45)*I$7)/(J$5-I$5)</f>
        <v>0.25875174844242227</v>
      </c>
      <c r="O47" s="142">
        <f>((O$45-I$5)*J$7+(J$5-O$45)*I$7)/(J$5-I$5)</f>
        <v>0.25344530615138711</v>
      </c>
      <c r="P47" s="142">
        <f t="shared" si="38"/>
        <v>0.25344530615138711</v>
      </c>
      <c r="Q47" s="142">
        <f t="shared" si="39"/>
        <v>0.25875174844242227</v>
      </c>
      <c r="R47" s="142">
        <f t="shared" si="40"/>
        <v>0.26877502832548861</v>
      </c>
      <c r="S47" s="142">
        <f t="shared" si="41"/>
        <v>0.28380994815008814</v>
      </c>
      <c r="T47" s="142">
        <f t="shared" si="42"/>
        <v>0.30356170556671885</v>
      </c>
      <c r="U47" s="142">
        <f t="shared" si="43"/>
        <v>0.32714589352687506</v>
      </c>
      <c r="V47" s="142">
        <f t="shared" si="44"/>
        <v>0.36376697448010242</v>
      </c>
      <c r="W47" s="142">
        <f t="shared" si="45"/>
        <v>0.40937165512515317</v>
      </c>
      <c r="X47" s="142">
        <f t="shared" si="46"/>
        <v>0.49008920394292926</v>
      </c>
      <c r="Y47" s="142">
        <f t="shared" si="47"/>
        <v>0.6004307908008274</v>
      </c>
      <c r="Z47" s="101">
        <f t="shared" si="48"/>
        <v>0.78491854018089668</v>
      </c>
      <c r="AA47" s="101">
        <f t="shared" si="49"/>
        <v>0.98625765334543836</v>
      </c>
    </row>
    <row r="48" spans="1:27" s="11" customFormat="1">
      <c r="A48" t="s">
        <v>672</v>
      </c>
      <c r="B48"/>
      <c r="C48"/>
      <c r="D48" s="142">
        <f>((D$45-C$5)*D$8+(D$5-D$45)*C$8)/(D$5-C$5)</f>
        <v>0.99999978562550729</v>
      </c>
      <c r="E48" s="142">
        <f>((E$45-E$5)*F$8+(F$5-E$45)*E$8)/(F$5-E$5)</f>
        <v>0.99683537961335145</v>
      </c>
      <c r="F48" s="142">
        <f>((F$45-F$5)*G$8+(G$5-F$45)*F$8)/(G$5-F$5)</f>
        <v>0.97635489559350408</v>
      </c>
      <c r="G48" s="142">
        <f>((G$45-G$5)*H$8+(H$5-G$45)*G$8)/(H$5-G$5)</f>
        <v>0.92821677730999641</v>
      </c>
      <c r="H48" s="142">
        <f>((H$45-H$5)*I$8+(I$5-H$45)*H$8)/(I$5-H$5)</f>
        <v>0.87774442929368524</v>
      </c>
      <c r="I48" s="142">
        <f>((I$45-H$5)*I$8+(I$5-I$45)*H$8)/(I$5-H$5)</f>
        <v>0.84922801190487041</v>
      </c>
      <c r="J48" s="142">
        <f>((J$45-I$5)*J$8+(J$5-J$45)*I$8)/(J$5-I$5)</f>
        <v>0.81712830708230022</v>
      </c>
      <c r="K48" s="142">
        <f>((K$45-I$5)*J$8+(J$5-K$45)*I$8)/(J$5-I$5)</f>
        <v>0.7793794747880507</v>
      </c>
      <c r="L48" s="142">
        <f>((L$45-I$5)*J$8+(J$5-L$45)*I$8)/(J$5-I$5)</f>
        <v>0.74776482774161668</v>
      </c>
      <c r="M48" s="142">
        <f>((M$45-I$5)*J$8+(J$5-M$45)*I$8)/(J$5-I$5)</f>
        <v>0.72369994715403263</v>
      </c>
      <c r="N48" s="142">
        <f>((N$45-I$5)*J$8+(J$5-N$45)*I$8)/(J$5-I$5)</f>
        <v>0.70765669342897664</v>
      </c>
      <c r="O48" s="142">
        <f>((O$45-I$5)*J$8+(J$5-O$45)*I$8)/(J$5-I$5)</f>
        <v>0.69916320616277039</v>
      </c>
      <c r="P48" s="142">
        <f t="shared" si="38"/>
        <v>0.69916320616277039</v>
      </c>
      <c r="Q48" s="142">
        <f t="shared" si="39"/>
        <v>0.70765669342897664</v>
      </c>
      <c r="R48" s="142">
        <f t="shared" si="40"/>
        <v>0.72369994715403263</v>
      </c>
      <c r="S48" s="142">
        <f t="shared" si="41"/>
        <v>0.74776482774161668</v>
      </c>
      <c r="T48" s="142">
        <f t="shared" si="42"/>
        <v>0.7793794747880507</v>
      </c>
      <c r="U48" s="142">
        <f t="shared" si="43"/>
        <v>0.81712830708230022</v>
      </c>
      <c r="V48" s="142">
        <f t="shared" si="44"/>
        <v>0.84922801190487041</v>
      </c>
      <c r="W48" s="142">
        <f t="shared" si="45"/>
        <v>0.87774442929368524</v>
      </c>
      <c r="X48" s="142">
        <f t="shared" si="46"/>
        <v>0.92821677730999641</v>
      </c>
      <c r="Y48" s="142">
        <f t="shared" si="47"/>
        <v>0.97635489559350408</v>
      </c>
      <c r="Z48" s="101">
        <f t="shared" si="48"/>
        <v>0.99683537961335145</v>
      </c>
      <c r="AA48" s="101">
        <f t="shared" si="49"/>
        <v>0.99999978562550729</v>
      </c>
    </row>
    <row r="49" spans="1:51" s="11" customFormat="1">
      <c r="A49" s="16"/>
      <c r="B49"/>
      <c r="C49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12"/>
      <c r="AA49" s="12"/>
    </row>
    <row r="50" spans="1:51" s="11" customFormat="1">
      <c r="A50" s="16" t="s">
        <v>514</v>
      </c>
      <c r="B50"/>
      <c r="C50"/>
      <c r="D50" s="32">
        <v>0.27</v>
      </c>
      <c r="E50" s="32">
        <v>0.92</v>
      </c>
      <c r="F50" s="32">
        <v>1.56</v>
      </c>
      <c r="G50" s="32">
        <v>2.1800000000000002</v>
      </c>
      <c r="H50" s="32">
        <v>2.75</v>
      </c>
      <c r="I50" s="32">
        <v>3.28</v>
      </c>
      <c r="J50" s="32">
        <v>3.75</v>
      </c>
      <c r="K50" s="32">
        <v>4.1500000000000004</v>
      </c>
      <c r="L50" s="32">
        <v>4.49</v>
      </c>
      <c r="M50" s="32">
        <v>4.74</v>
      </c>
      <c r="N50" s="32">
        <v>4.92</v>
      </c>
      <c r="O50" s="32">
        <v>5.01</v>
      </c>
      <c r="P50" s="140">
        <f t="shared" si="38"/>
        <v>5.01</v>
      </c>
      <c r="Q50" s="140">
        <f t="shared" si="39"/>
        <v>4.92</v>
      </c>
      <c r="R50" s="140">
        <f t="shared" si="40"/>
        <v>4.74</v>
      </c>
      <c r="S50" s="140">
        <f t="shared" si="41"/>
        <v>4.49</v>
      </c>
      <c r="T50" s="140">
        <f t="shared" si="42"/>
        <v>4.1500000000000004</v>
      </c>
      <c r="U50" s="140">
        <f t="shared" si="43"/>
        <v>3.75</v>
      </c>
      <c r="V50" s="140">
        <f t="shared" si="44"/>
        <v>3.28</v>
      </c>
      <c r="W50" s="140">
        <f t="shared" si="45"/>
        <v>2.75</v>
      </c>
      <c r="X50" s="140">
        <f t="shared" si="46"/>
        <v>2.1800000000000002</v>
      </c>
      <c r="Y50" s="140">
        <f t="shared" si="47"/>
        <v>1.56</v>
      </c>
      <c r="Z50" s="16">
        <f t="shared" si="48"/>
        <v>0.92</v>
      </c>
      <c r="AA50" s="16">
        <f t="shared" si="49"/>
        <v>0.27</v>
      </c>
    </row>
    <row r="51" spans="1:51" s="11" customFormat="1">
      <c r="A51" t="s">
        <v>669</v>
      </c>
      <c r="B51" s="27" t="s">
        <v>670</v>
      </c>
      <c r="C51"/>
      <c r="D51" s="75">
        <v>0.85</v>
      </c>
      <c r="E51" s="142">
        <f>((E$50-D$5)*E$6+(E$5-E$50)*D$6)/(E$5-D$5)</f>
        <v>0.46883413123331213</v>
      </c>
      <c r="F51" s="142">
        <f>((F$50-D$5)*E$6+(E$5-F$50)*D$6)/(E$5-D$5)</f>
        <v>0.32625797146050045</v>
      </c>
      <c r="G51" s="142">
        <f>((G$50-E$5)*F$6+(F$5-G$50)*E$6)/(F$5-E$5)</f>
        <v>0.23613113399899857</v>
      </c>
      <c r="H51" s="142">
        <f>((H$50-F$5)*G$6+(G$5-H$50)*F$6)/(G$5-F$5)</f>
        <v>0.19017605487272018</v>
      </c>
      <c r="I51" s="142">
        <f>((I$50-F$5)*G$6+(G$5-I$50)*F$6)/(G$5-F$5)</f>
        <v>0.16390709325030853</v>
      </c>
      <c r="J51" s="142">
        <f>((J$50-G$5)*H$6+(H$5-J$50)*G$6)/(H$5-G$5)</f>
        <v>0.14403008623453598</v>
      </c>
      <c r="K51" s="142">
        <f>((K$50-G$5)*H$6+(H$5-K$50)*G$6)/(H$5-G$5)</f>
        <v>0.13274972955806505</v>
      </c>
      <c r="L51" s="142">
        <f>((L$50-G$5)*H$6+(H$5-L$50)*G$6)/(H$5-G$5)</f>
        <v>0.12316142638306475</v>
      </c>
      <c r="M51" s="142">
        <f>((M$50-G$5)*H$6+(H$5-M$50)*G$6)/(H$5-G$5)</f>
        <v>0.11611120346027044</v>
      </c>
      <c r="N51" s="142">
        <f>((N$50-G$5)*H$6+(H$5-N$50)*G$6)/(H$5-G$5)</f>
        <v>0.11103504295585855</v>
      </c>
      <c r="O51" s="142">
        <f>((O$50-G$5)*H$6+(H$5-O$50)*G$6)/(H$5-G$5)</f>
        <v>0.10849696270365258</v>
      </c>
      <c r="P51" s="142">
        <f t="shared" si="38"/>
        <v>0.10849696270365258</v>
      </c>
      <c r="Q51" s="142">
        <f t="shared" si="39"/>
        <v>0.11103504295585855</v>
      </c>
      <c r="R51" s="142">
        <f t="shared" si="40"/>
        <v>0.11611120346027044</v>
      </c>
      <c r="S51" s="142">
        <f t="shared" si="41"/>
        <v>0.12316142638306475</v>
      </c>
      <c r="T51" s="142">
        <f t="shared" si="42"/>
        <v>0.13274972955806505</v>
      </c>
      <c r="U51" s="142">
        <f t="shared" si="43"/>
        <v>0.14403008623453598</v>
      </c>
      <c r="V51" s="142">
        <f t="shared" si="44"/>
        <v>0.16390709325030853</v>
      </c>
      <c r="W51" s="142">
        <f t="shared" si="45"/>
        <v>0.19017605487272018</v>
      </c>
      <c r="X51" s="142">
        <f t="shared" si="46"/>
        <v>0.23613113399899857</v>
      </c>
      <c r="Y51" s="142">
        <f t="shared" si="47"/>
        <v>0.32625797146050045</v>
      </c>
      <c r="Z51" s="101">
        <f t="shared" si="48"/>
        <v>0.46883413123331213</v>
      </c>
      <c r="AA51" s="12">
        <f t="shared" si="49"/>
        <v>0.85</v>
      </c>
    </row>
    <row r="52" spans="1:51" s="11" customFormat="1">
      <c r="A52" t="s">
        <v>671</v>
      </c>
      <c r="B52"/>
      <c r="C52"/>
      <c r="D52" s="75">
        <v>1</v>
      </c>
      <c r="E52" s="142">
        <f>((E$50-D$5)*E$7+(E$5-E$50)*D$7)/(E$5-D$5)</f>
        <v>0.95811308578197363</v>
      </c>
      <c r="F52" s="142">
        <f>((F$50-D$5)*E$7+(E$5-F$50)*D$7)/(E$5-D$5)</f>
        <v>0.84642604560507273</v>
      </c>
      <c r="G52" s="142">
        <f>((G$50-E$5)*F$7+(F$5-G$50)*E$7)/(F$5-E$5)</f>
        <v>0.73052223926299986</v>
      </c>
      <c r="H52" s="142">
        <f>((H$50-F$5)*G$7+(G$5-H$50)*F$7)/(G$5-F$5)</f>
        <v>0.64098825025342032</v>
      </c>
      <c r="I52" s="142">
        <f>((I$50-F$5)*G$7+(G$5-I$50)*F$7)/(G$5-F$5)</f>
        <v>0.58980859903943395</v>
      </c>
      <c r="J52" s="142">
        <f>((J$50-G$5)*H$7+(H$5-J$50)*G$7)/(H$5-G$5)</f>
        <v>0.54573983719019792</v>
      </c>
      <c r="K52" s="142">
        <f>((K$50-G$5)*H$7+(H$5-K$50)*G$7)/(H$5-G$5)</f>
        <v>0.51040610179510659</v>
      </c>
      <c r="L52" s="142">
        <f>((L$50-G$5)*H$7+(H$5-L$50)*G$7)/(H$5-G$5)</f>
        <v>0.48037242670927921</v>
      </c>
      <c r="M52" s="142">
        <f>((M$50-G$5)*H$7+(H$5-M$50)*G$7)/(H$5-G$5)</f>
        <v>0.45828884208734727</v>
      </c>
      <c r="N52" s="142">
        <f>((N$50-G$5)*H$7+(H$5-N$50)*G$7)/(H$5-G$5)</f>
        <v>0.44238866115955622</v>
      </c>
      <c r="O52" s="142">
        <f>((O$50-G$5)*H$7+(H$5-O$50)*G$7)/(H$5-G$5)</f>
        <v>0.43443857069566072</v>
      </c>
      <c r="P52" s="142">
        <f t="shared" si="38"/>
        <v>0.43443857069566072</v>
      </c>
      <c r="Q52" s="142">
        <f t="shared" si="39"/>
        <v>0.44238866115955622</v>
      </c>
      <c r="R52" s="142">
        <f t="shared" si="40"/>
        <v>0.45828884208734727</v>
      </c>
      <c r="S52" s="142">
        <f t="shared" si="41"/>
        <v>0.48037242670927921</v>
      </c>
      <c r="T52" s="142">
        <f t="shared" si="42"/>
        <v>0.51040610179510659</v>
      </c>
      <c r="U52" s="142">
        <f t="shared" si="43"/>
        <v>0.54573983719019792</v>
      </c>
      <c r="V52" s="142">
        <f t="shared" si="44"/>
        <v>0.58980859903943395</v>
      </c>
      <c r="W52" s="142">
        <f t="shared" si="45"/>
        <v>0.64098825025342032</v>
      </c>
      <c r="X52" s="142">
        <f t="shared" si="46"/>
        <v>0.73052223926299986</v>
      </c>
      <c r="Y52" s="142">
        <f t="shared" si="47"/>
        <v>0.84642604560507273</v>
      </c>
      <c r="Z52" s="101">
        <f t="shared" si="48"/>
        <v>0.95811308578197363</v>
      </c>
      <c r="AA52" s="12">
        <f t="shared" si="49"/>
        <v>1</v>
      </c>
    </row>
    <row r="53" spans="1:51" s="11" customFormat="1">
      <c r="A53" t="s">
        <v>672</v>
      </c>
      <c r="B53"/>
      <c r="C53"/>
      <c r="D53" s="75">
        <v>1</v>
      </c>
      <c r="E53" s="142">
        <f>((E$50-D$5)*E$8+(E$5-E$50)*D$8)/(E$5-D$5)</f>
        <v>0.99997725905197821</v>
      </c>
      <c r="F53" s="142">
        <f>((F$50-D$5)*E$8+(E$5-F$50)*D$8)/(E$5-D$5)</f>
        <v>0.99941116016306186</v>
      </c>
      <c r="G53" s="142">
        <f>((G$50-E$5)*F$8+(F$5-G$50)*E$8)/(F$5-E$5)</f>
        <v>0.99079669912951795</v>
      </c>
      <c r="H53" s="142">
        <f>((H$50-F$5)*G$8+(G$5-H$50)*F$8)/(G$5-F$5)</f>
        <v>0.98085728885807366</v>
      </c>
      <c r="I53" s="142">
        <f>((I$50-F$5)*G$8+(G$5-I$50)*F$8)/(G$5-F$5)</f>
        <v>0.97517569735754539</v>
      </c>
      <c r="J53" s="142">
        <f>((J$50-G$5)*H$8+(H$5-J$50)*G$8)/(H$5-G$5)</f>
        <v>0.96301488713522543</v>
      </c>
      <c r="K53" s="142">
        <f>((K$50-G$5)*H$8+(H$5-K$50)*G$8)/(H$5-G$5)</f>
        <v>0.94092084915095309</v>
      </c>
      <c r="L53" s="142">
        <f>((L$50-G$5)*H$8+(H$5-L$50)*G$8)/(H$5-G$5)</f>
        <v>0.92214091686432165</v>
      </c>
      <c r="M53" s="142">
        <f>((M$50-G$5)*H$8+(H$5-M$50)*G$8)/(H$5-G$5)</f>
        <v>0.90833214312415156</v>
      </c>
      <c r="N53" s="142">
        <f>((N$50-G$5)*H$8+(H$5-N$50)*G$8)/(H$5-G$5)</f>
        <v>0.89838982603122897</v>
      </c>
      <c r="O53" s="142">
        <f>((O$50-G$5)*H$8+(H$5-O$50)*G$8)/(H$5-G$5)</f>
        <v>0.89341866748476761</v>
      </c>
      <c r="P53" s="142">
        <f>O53</f>
        <v>0.89341866748476761</v>
      </c>
      <c r="Q53" s="142">
        <f>N53</f>
        <v>0.89838982603122897</v>
      </c>
      <c r="R53" s="142">
        <f>M53</f>
        <v>0.90833214312415156</v>
      </c>
      <c r="S53" s="142">
        <f>L53</f>
        <v>0.92214091686432165</v>
      </c>
      <c r="T53" s="142">
        <f>K53</f>
        <v>0.94092084915095309</v>
      </c>
      <c r="U53" s="142">
        <f>J53</f>
        <v>0.96301488713522543</v>
      </c>
      <c r="V53" s="142">
        <f>I53</f>
        <v>0.97517569735754539</v>
      </c>
      <c r="W53" s="142">
        <f>H53</f>
        <v>0.98085728885807366</v>
      </c>
      <c r="X53" s="142">
        <f>G53</f>
        <v>0.99079669912951795</v>
      </c>
      <c r="Y53" s="142">
        <f>F53</f>
        <v>0.99941116016306186</v>
      </c>
      <c r="Z53" s="101">
        <f>E53</f>
        <v>0.99997725905197821</v>
      </c>
      <c r="AA53" s="12">
        <f>D53</f>
        <v>1</v>
      </c>
    </row>
    <row r="54" spans="1:51" s="11" customFormat="1">
      <c r="B54"/>
      <c r="D54" s="34"/>
    </row>
    <row r="55" spans="1:51" s="11" customFormat="1">
      <c r="A55" s="20" t="s">
        <v>673</v>
      </c>
      <c r="B55"/>
      <c r="C55"/>
      <c r="D55"/>
      <c r="E55" s="16"/>
      <c r="F55"/>
      <c r="G55"/>
      <c r="H55" s="75"/>
      <c r="I55" s="75"/>
      <c r="J55"/>
    </row>
    <row r="56" spans="1:51" s="11" customFormat="1">
      <c r="A56"/>
      <c r="B56"/>
      <c r="C56"/>
      <c r="D56"/>
      <c r="E56" s="75"/>
      <c r="F56"/>
      <c r="G56" s="66"/>
      <c r="H56" s="75"/>
      <c r="I56"/>
      <c r="J56"/>
    </row>
    <row r="57" spans="1:51" s="11" customFormat="1">
      <c r="A57" t="s">
        <v>674</v>
      </c>
      <c r="C57" t="s">
        <v>675</v>
      </c>
      <c r="D57" t="s">
        <v>676</v>
      </c>
      <c r="F57" t="s">
        <v>361</v>
      </c>
      <c r="G57" s="66"/>
      <c r="H57" s="75"/>
      <c r="I57" s="75"/>
      <c r="J57"/>
      <c r="L57" s="34" t="s">
        <v>362</v>
      </c>
    </row>
    <row r="58" spans="1:51" s="11" customFormat="1">
      <c r="A58"/>
      <c r="B58" t="s">
        <v>677</v>
      </c>
      <c r="E58" s="21" t="s">
        <v>398</v>
      </c>
      <c r="H58" s="32"/>
      <c r="J58" s="39" t="s">
        <v>678</v>
      </c>
    </row>
    <row r="59" spans="1:51" s="11" customFormat="1">
      <c r="A59"/>
      <c r="B59"/>
      <c r="E59" s="21"/>
      <c r="F59"/>
      <c r="G59" t="s">
        <v>679</v>
      </c>
      <c r="H59" s="32"/>
      <c r="I59" s="19" t="s">
        <v>680</v>
      </c>
      <c r="M59" t="s">
        <v>679</v>
      </c>
      <c r="Q59" t="s">
        <v>679</v>
      </c>
    </row>
    <row r="60" spans="1:51" s="11" customFormat="1">
      <c r="A60"/>
      <c r="B60"/>
      <c r="E60" s="21"/>
      <c r="F60" s="16" t="s">
        <v>663</v>
      </c>
      <c r="H60" s="32" t="s">
        <v>681</v>
      </c>
      <c r="L60" s="16" t="s">
        <v>665</v>
      </c>
      <c r="P60" s="16" t="s">
        <v>666</v>
      </c>
    </row>
    <row r="61" spans="1:51" s="11" customFormat="1">
      <c r="A61" t="s">
        <v>682</v>
      </c>
      <c r="B61" s="11">
        <f>C61-2.5</f>
        <v>2.5</v>
      </c>
      <c r="C61">
        <v>5</v>
      </c>
      <c r="D61">
        <f>C61^2</f>
        <v>25</v>
      </c>
      <c r="E61" s="101">
        <f>1/COS(B61*PI()/180)</f>
        <v>1.0009526851633199</v>
      </c>
      <c r="F61" s="143">
        <f>E61*0.01</f>
        <v>1.0009526851633199E-2</v>
      </c>
      <c r="G61" s="61">
        <v>1</v>
      </c>
      <c r="H61" s="32">
        <f>COS(B61*PI()/180)*D61</f>
        <v>24.976205539546445</v>
      </c>
      <c r="I61" s="144">
        <f>H61/$H$79</f>
        <v>6.6550230961402619E-3</v>
      </c>
      <c r="J61" s="145">
        <f>$I61*F61*G61</f>
        <v>6.6613632379055067E-5</v>
      </c>
      <c r="L61" s="143">
        <f>E61*0.05</f>
        <v>5.0047634258165996E-2</v>
      </c>
      <c r="M61" s="147">
        <v>1</v>
      </c>
      <c r="N61" s="151">
        <f>$I61*L61*M61</f>
        <v>3.3306816189527529E-4</v>
      </c>
      <c r="O61" s="16"/>
      <c r="P61" s="141">
        <f>E61*0.2</f>
        <v>0.20019053703266398</v>
      </c>
      <c r="Q61" s="147">
        <v>1</v>
      </c>
      <c r="R61" s="152">
        <f>$I61*P61*Q61</f>
        <v>1.3322726475811012E-3</v>
      </c>
      <c r="S61" s="16"/>
      <c r="T61"/>
      <c r="U61"/>
      <c r="W61" s="16"/>
      <c r="X61"/>
      <c r="Y61"/>
      <c r="Z61"/>
      <c r="AA61" s="16"/>
      <c r="AB61"/>
      <c r="AC61"/>
      <c r="AD61"/>
      <c r="AE61" s="70"/>
      <c r="AF61"/>
      <c r="AG61"/>
      <c r="AH61"/>
      <c r="AI61"/>
      <c r="AJ61" s="7"/>
      <c r="AK61" s="7"/>
      <c r="AL61" s="7"/>
      <c r="AM61" s="7"/>
    </row>
    <row r="62" spans="1:51" s="11" customFormat="1">
      <c r="A62" s="24" t="s">
        <v>683</v>
      </c>
      <c r="B62" s="11">
        <f t="shared" ref="B62:B78" si="50">C62-2.5</f>
        <v>7.5</v>
      </c>
      <c r="C62">
        <v>10</v>
      </c>
      <c r="D62">
        <f>C62^2-C61^2</f>
        <v>75</v>
      </c>
      <c r="E62" s="101">
        <f t="shared" ref="E62:E78" si="51">1/COS(B62*PI()/180)</f>
        <v>1.0086289605801528</v>
      </c>
      <c r="F62" s="143">
        <f t="shared" ref="F62:F78" si="52">E62*0.01</f>
        <v>1.0086289605801529E-2</v>
      </c>
      <c r="G62" s="61">
        <v>1</v>
      </c>
      <c r="H62" s="32">
        <f t="shared" ref="H62:H78" si="53">COS(B62*PI()/180)*D62</f>
        <v>74.358364603035781</v>
      </c>
      <c r="I62" s="144">
        <f t="shared" ref="I62:I78" si="54">H62/$H$79</f>
        <v>1.9813123055897462E-2</v>
      </c>
      <c r="J62" s="145">
        <f t="shared" ref="J62:J78" si="55">I62*F62*G62</f>
        <v>1.9984089713716519E-4</v>
      </c>
      <c r="L62" s="143">
        <f t="shared" ref="L62:L78" si="56">E62*0.05</f>
        <v>5.0431448029007647E-2</v>
      </c>
      <c r="M62" s="147">
        <v>1</v>
      </c>
      <c r="N62" s="151">
        <f t="shared" ref="N62:N78" si="57">$I62*L62*M62</f>
        <v>9.9920448568582604E-4</v>
      </c>
      <c r="O62" s="16"/>
      <c r="P62" s="141">
        <f t="shared" ref="P62:P78" si="58">E62*0.2</f>
        <v>0.20172579211603059</v>
      </c>
      <c r="Q62" s="147">
        <v>1</v>
      </c>
      <c r="R62" s="152">
        <f t="shared" ref="R62:R78" si="59">$I62*P62*Q62</f>
        <v>3.9968179427433042E-3</v>
      </c>
      <c r="S62" s="16"/>
      <c r="T62"/>
      <c r="U62"/>
      <c r="W62" s="16"/>
      <c r="X62"/>
      <c r="Y62"/>
      <c r="Z62"/>
      <c r="AA62" s="16"/>
      <c r="AB62"/>
      <c r="AC62"/>
      <c r="AD62"/>
      <c r="AE62" s="70"/>
      <c r="AF62"/>
      <c r="AG62"/>
      <c r="AH62"/>
      <c r="AI62"/>
      <c r="AJ62" s="7"/>
      <c r="AK62" s="7"/>
      <c r="AL62" s="7"/>
      <c r="AM62" s="7"/>
    </row>
    <row r="63" spans="1:51" s="11" customFormat="1">
      <c r="A63" s="24" t="s">
        <v>684</v>
      </c>
      <c r="B63" s="11">
        <f t="shared" si="50"/>
        <v>12.5</v>
      </c>
      <c r="C63">
        <v>15</v>
      </c>
      <c r="D63">
        <f t="shared" ref="D63:D78" si="60">C63^2-C62^2</f>
        <v>125</v>
      </c>
      <c r="E63" s="101">
        <f t="shared" si="51"/>
        <v>1.0242795143145091</v>
      </c>
      <c r="F63" s="143">
        <f t="shared" si="52"/>
        <v>1.0242795143145092E-2</v>
      </c>
      <c r="G63" s="61">
        <v>1</v>
      </c>
      <c r="H63" s="32">
        <f t="shared" si="53"/>
        <v>122.03700088999167</v>
      </c>
      <c r="I63" s="144">
        <f t="shared" si="54"/>
        <v>3.2517311655713282E-2</v>
      </c>
      <c r="J63" s="145">
        <f t="shared" si="55"/>
        <v>3.3306816189527529E-4</v>
      </c>
      <c r="K63" s="16"/>
      <c r="L63" s="143">
        <f t="shared" si="56"/>
        <v>5.121397571572546E-2</v>
      </c>
      <c r="M63" s="147">
        <v>1</v>
      </c>
      <c r="N63" s="151">
        <f t="shared" si="57"/>
        <v>1.6653408094763765E-3</v>
      </c>
      <c r="O63" s="16"/>
      <c r="P63" s="141">
        <f t="shared" si="58"/>
        <v>0.20485590286290184</v>
      </c>
      <c r="Q63" s="147">
        <v>1</v>
      </c>
      <c r="R63" s="152">
        <f t="shared" si="59"/>
        <v>6.6613632379055061E-3</v>
      </c>
      <c r="S63" s="16"/>
      <c r="T63"/>
      <c r="U63"/>
      <c r="W63" s="16"/>
      <c r="X63" s="7"/>
      <c r="Y63" s="7"/>
      <c r="Z63" s="7"/>
      <c r="AA63" s="16"/>
      <c r="AB63" s="7"/>
      <c r="AC63" s="7"/>
      <c r="AD63"/>
      <c r="AE63" s="70"/>
      <c r="AF63"/>
      <c r="AG63"/>
      <c r="AH63"/>
      <c r="AI63"/>
      <c r="AR63"/>
      <c r="AS63"/>
      <c r="AT63"/>
      <c r="AU63"/>
      <c r="AV63"/>
      <c r="AW63"/>
      <c r="AX63"/>
      <c r="AY63"/>
    </row>
    <row r="64" spans="1:51">
      <c r="A64" s="5" t="s">
        <v>685</v>
      </c>
      <c r="B64" s="11">
        <f t="shared" si="50"/>
        <v>17.5</v>
      </c>
      <c r="C64">
        <v>20</v>
      </c>
      <c r="D64">
        <f t="shared" si="60"/>
        <v>175</v>
      </c>
      <c r="E64" s="101">
        <f t="shared" si="51"/>
        <v>1.0485291251408106</v>
      </c>
      <c r="F64" s="143">
        <f t="shared" si="52"/>
        <v>1.0485291251408107E-2</v>
      </c>
      <c r="G64" s="61">
        <v>1</v>
      </c>
      <c r="H64" s="32">
        <f t="shared" si="53"/>
        <v>166.90046638093972</v>
      </c>
      <c r="I64" s="144">
        <f t="shared" si="54"/>
        <v>4.4471385245571024E-2</v>
      </c>
      <c r="J64" s="145">
        <f t="shared" si="55"/>
        <v>4.662954266533854E-4</v>
      </c>
      <c r="K64" s="11"/>
      <c r="L64" s="143">
        <f t="shared" si="56"/>
        <v>5.2426456257040538E-2</v>
      </c>
      <c r="M64" s="147">
        <v>1</v>
      </c>
      <c r="N64" s="151">
        <f t="shared" si="57"/>
        <v>2.3314771332669272E-3</v>
      </c>
      <c r="O64" s="64"/>
      <c r="P64" s="141">
        <f t="shared" si="58"/>
        <v>0.20970582502816215</v>
      </c>
      <c r="Q64" s="147">
        <v>1</v>
      </c>
      <c r="R64" s="152">
        <f t="shared" si="59"/>
        <v>9.3259085330677088E-3</v>
      </c>
      <c r="S64" s="61"/>
      <c r="T64" s="68"/>
      <c r="U64" s="61"/>
      <c r="W64" s="61"/>
      <c r="X64" s="68"/>
      <c r="Y64" s="61"/>
      <c r="Z64" s="61"/>
      <c r="AA64" s="35"/>
      <c r="AB64" s="67"/>
      <c r="AC64" s="61"/>
      <c r="AE64" s="67"/>
      <c r="AF64" s="61"/>
      <c r="AG64" s="61"/>
      <c r="AH64" s="61"/>
      <c r="AI64" s="61"/>
      <c r="AU64" s="5"/>
    </row>
    <row r="65" spans="1:51">
      <c r="A65" t="s">
        <v>686</v>
      </c>
      <c r="B65" s="11">
        <f t="shared" si="50"/>
        <v>22.5</v>
      </c>
      <c r="C65">
        <v>25</v>
      </c>
      <c r="D65">
        <f t="shared" si="60"/>
        <v>225</v>
      </c>
      <c r="E65" s="101">
        <f t="shared" si="51"/>
        <v>1.082392200292394</v>
      </c>
      <c r="F65" s="143">
        <f t="shared" si="52"/>
        <v>1.082392200292394E-2</v>
      </c>
      <c r="G65" s="61">
        <v>1</v>
      </c>
      <c r="H65" s="32">
        <f t="shared" si="53"/>
        <v>207.87289481503953</v>
      </c>
      <c r="I65" s="144">
        <f t="shared" si="54"/>
        <v>5.5388674387116095E-2</v>
      </c>
      <c r="J65" s="145">
        <f t="shared" si="55"/>
        <v>5.9952269141149556E-4</v>
      </c>
      <c r="K65" s="11"/>
      <c r="L65" s="143">
        <f t="shared" si="56"/>
        <v>5.4119610014619707E-2</v>
      </c>
      <c r="M65" s="147">
        <v>1</v>
      </c>
      <c r="N65" s="151">
        <f t="shared" si="57"/>
        <v>2.9976134570574783E-3</v>
      </c>
      <c r="O65" s="65"/>
      <c r="P65" s="141">
        <f t="shared" si="58"/>
        <v>0.21647844005847883</v>
      </c>
      <c r="Q65" s="147">
        <v>1</v>
      </c>
      <c r="R65" s="152">
        <f t="shared" si="59"/>
        <v>1.1990453828229913E-2</v>
      </c>
      <c r="S65" s="71"/>
      <c r="T65" s="62"/>
      <c r="U65" s="62"/>
      <c r="W65" s="65"/>
      <c r="X65" s="62"/>
      <c r="Y65" s="65"/>
      <c r="Z65" s="63"/>
      <c r="AA65" s="65"/>
      <c r="AB65" s="62"/>
      <c r="AC65" s="65"/>
      <c r="AE65" s="62"/>
      <c r="AF65" s="65"/>
      <c r="AG65" s="65"/>
      <c r="AH65" s="65"/>
      <c r="AI65" s="65"/>
      <c r="AN65" s="44"/>
      <c r="AO65" s="44"/>
      <c r="AP65" s="44"/>
      <c r="AQ65" s="44"/>
      <c r="AR65" s="52"/>
      <c r="AT65" s="52"/>
      <c r="AU65" s="44"/>
      <c r="AV65" s="44"/>
      <c r="AW65" s="44"/>
      <c r="AX65" s="44"/>
      <c r="AY65" s="44"/>
    </row>
    <row r="66" spans="1:51" ht="14.45" customHeight="1">
      <c r="A66" s="14" t="s">
        <v>687</v>
      </c>
      <c r="B66" s="11">
        <f t="shared" si="50"/>
        <v>27.5</v>
      </c>
      <c r="C66">
        <v>30</v>
      </c>
      <c r="D66">
        <f t="shared" si="60"/>
        <v>275</v>
      </c>
      <c r="E66" s="101">
        <f t="shared" si="51"/>
        <v>1.1273819468663424</v>
      </c>
      <c r="F66" s="143">
        <f t="shared" si="52"/>
        <v>1.1273819468663425E-2</v>
      </c>
      <c r="G66" s="61">
        <v>1</v>
      </c>
      <c r="H66" s="32">
        <f t="shared" si="53"/>
        <v>243.92797912401096</v>
      </c>
      <c r="I66" s="144">
        <f t="shared" si="54"/>
        <v>6.4995714913330727E-2</v>
      </c>
      <c r="J66" s="145">
        <f t="shared" si="55"/>
        <v>7.3274995616960561E-4</v>
      </c>
      <c r="K66" s="65"/>
      <c r="L66" s="143">
        <f t="shared" si="56"/>
        <v>5.6369097343317125E-2</v>
      </c>
      <c r="M66" s="147">
        <v>1</v>
      </c>
      <c r="N66" s="151">
        <f t="shared" si="57"/>
        <v>3.6637497808480282E-3</v>
      </c>
      <c r="O66" s="65"/>
      <c r="P66" s="141">
        <f t="shared" si="58"/>
        <v>0.2254763893732685</v>
      </c>
      <c r="Q66" s="147">
        <v>1</v>
      </c>
      <c r="R66" s="152">
        <f t="shared" si="59"/>
        <v>1.4654999123392113E-2</v>
      </c>
      <c r="S66" s="62"/>
      <c r="T66" s="62"/>
      <c r="U66" s="65"/>
      <c r="W66" s="65"/>
      <c r="X66" s="62"/>
      <c r="Y66" s="65"/>
      <c r="AN66" s="52"/>
      <c r="AO66" s="44"/>
      <c r="AP66" s="44"/>
      <c r="AQ66" s="44"/>
      <c r="AR66" s="52"/>
      <c r="AT66" s="52"/>
      <c r="AU66" s="44"/>
      <c r="AV66" s="44"/>
      <c r="AW66" s="44"/>
      <c r="AX66" s="44"/>
      <c r="AY66" s="44"/>
    </row>
    <row r="67" spans="1:51">
      <c r="A67" t="s">
        <v>688</v>
      </c>
      <c r="B67" s="11">
        <f t="shared" si="50"/>
        <v>32.5</v>
      </c>
      <c r="C67">
        <v>35</v>
      </c>
      <c r="D67">
        <f t="shared" si="60"/>
        <v>325</v>
      </c>
      <c r="E67" s="101">
        <f t="shared" si="51"/>
        <v>1.1856890474341606</v>
      </c>
      <c r="F67" s="143">
        <f t="shared" si="52"/>
        <v>1.1856890474341606E-2</v>
      </c>
      <c r="G67" s="61">
        <v>1</v>
      </c>
      <c r="H67" s="32">
        <f t="shared" si="53"/>
        <v>274.10221988918784</v>
      </c>
      <c r="I67" s="144">
        <f t="shared" si="54"/>
        <v>7.3035778039925087E-2</v>
      </c>
      <c r="J67" s="145">
        <f t="shared" si="55"/>
        <v>8.6597722092771566E-4</v>
      </c>
      <c r="L67" s="143">
        <f t="shared" si="56"/>
        <v>5.9284452371708034E-2</v>
      </c>
      <c r="M67" s="147">
        <v>1</v>
      </c>
      <c r="N67" s="151">
        <f t="shared" si="57"/>
        <v>4.329886104638578E-3</v>
      </c>
      <c r="P67" s="141">
        <f t="shared" si="58"/>
        <v>0.23713780948683214</v>
      </c>
      <c r="Q67" s="147">
        <v>1</v>
      </c>
      <c r="R67" s="152">
        <f t="shared" si="59"/>
        <v>1.7319544418554312E-2</v>
      </c>
      <c r="AF67" s="2"/>
      <c r="AG67" s="2"/>
    </row>
    <row r="68" spans="1:51">
      <c r="A68" t="s">
        <v>689</v>
      </c>
      <c r="B68" s="11">
        <f t="shared" si="50"/>
        <v>37.5</v>
      </c>
      <c r="C68">
        <v>40</v>
      </c>
      <c r="D68">
        <f t="shared" si="60"/>
        <v>375</v>
      </c>
      <c r="E68" s="101">
        <f t="shared" si="51"/>
        <v>1.2604724140102646</v>
      </c>
      <c r="F68" s="143">
        <f t="shared" si="52"/>
        <v>1.2604724140102646E-2</v>
      </c>
      <c r="G68" s="61">
        <v>1</v>
      </c>
      <c r="H68" s="32">
        <f t="shared" si="53"/>
        <v>297.50750260921319</v>
      </c>
      <c r="I68" s="144">
        <f t="shared" si="54"/>
        <v>7.9272221635283566E-2</v>
      </c>
      <c r="J68" s="145">
        <f t="shared" si="55"/>
        <v>9.9920448568582604E-4</v>
      </c>
      <c r="K68" s="11"/>
      <c r="L68" s="143">
        <f t="shared" si="56"/>
        <v>6.3023620700513233E-2</v>
      </c>
      <c r="M68" s="147">
        <v>1</v>
      </c>
      <c r="N68" s="151">
        <f t="shared" si="57"/>
        <v>4.99602242842913E-3</v>
      </c>
      <c r="O68" s="62"/>
      <c r="P68" s="141">
        <f t="shared" si="58"/>
        <v>0.25209448280205293</v>
      </c>
      <c r="Q68" s="147">
        <v>1</v>
      </c>
      <c r="R68" s="152">
        <f t="shared" si="59"/>
        <v>1.998408971371652E-2</v>
      </c>
      <c r="S68" s="65"/>
      <c r="T68" s="62"/>
      <c r="U68" s="65"/>
      <c r="Z68" s="2"/>
    </row>
    <row r="69" spans="1:51">
      <c r="A69" t="s">
        <v>690</v>
      </c>
      <c r="B69" s="11">
        <f t="shared" si="50"/>
        <v>42.5</v>
      </c>
      <c r="C69">
        <v>45</v>
      </c>
      <c r="D69">
        <f t="shared" si="60"/>
        <v>425</v>
      </c>
      <c r="E69" s="101">
        <f t="shared" si="51"/>
        <v>1.356341704909257</v>
      </c>
      <c r="F69" s="143">
        <f t="shared" si="52"/>
        <v>1.356341704909257E-2</v>
      </c>
      <c r="G69" s="61">
        <v>1</v>
      </c>
      <c r="H69" s="32">
        <f t="shared" si="53"/>
        <v>313.34286814430271</v>
      </c>
      <c r="I69" s="144">
        <f t="shared" si="54"/>
        <v>8.3491626508653216E-2</v>
      </c>
      <c r="J69" s="145">
        <f t="shared" si="55"/>
        <v>1.1324317504439361E-3</v>
      </c>
      <c r="K69" s="59"/>
      <c r="L69" s="143">
        <f t="shared" si="56"/>
        <v>6.7817085245462858E-2</v>
      </c>
      <c r="M69" s="147">
        <v>1</v>
      </c>
      <c r="N69" s="151">
        <f t="shared" si="57"/>
        <v>5.662158752219682E-3</v>
      </c>
      <c r="O69" s="62"/>
      <c r="P69" s="141">
        <f t="shared" si="58"/>
        <v>0.27126834098185143</v>
      </c>
      <c r="Q69" s="148">
        <f>O$110</f>
        <v>0.96801665353591004</v>
      </c>
      <c r="R69" s="152">
        <f t="shared" si="59"/>
        <v>2.1924255868451044E-2</v>
      </c>
      <c r="S69" s="65"/>
      <c r="T69" s="62"/>
      <c r="U69" s="65"/>
    </row>
    <row r="70" spans="1:51">
      <c r="A70" t="s">
        <v>691</v>
      </c>
      <c r="B70" s="11">
        <f t="shared" si="50"/>
        <v>47.5</v>
      </c>
      <c r="C70">
        <v>50</v>
      </c>
      <c r="D70">
        <f t="shared" si="60"/>
        <v>475</v>
      </c>
      <c r="E70" s="101">
        <f t="shared" si="51"/>
        <v>1.4801872329222612</v>
      </c>
      <c r="F70" s="143">
        <f t="shared" si="52"/>
        <v>1.4801872329222612E-2</v>
      </c>
      <c r="G70" s="61">
        <v>1</v>
      </c>
      <c r="H70" s="32">
        <f t="shared" si="53"/>
        <v>320.90534861743862</v>
      </c>
      <c r="I70" s="144">
        <f t="shared" si="54"/>
        <v>8.5506683685098242E-2</v>
      </c>
      <c r="J70" s="145">
        <f t="shared" si="55"/>
        <v>1.2656590152020461E-3</v>
      </c>
      <c r="K70" s="2"/>
      <c r="L70" s="143">
        <f t="shared" si="56"/>
        <v>7.4009361646113062E-2</v>
      </c>
      <c r="M70" s="148">
        <f>N$109</f>
        <v>0.99256823638315039</v>
      </c>
      <c r="N70" s="151">
        <f t="shared" si="57"/>
        <v>6.2812646829076496E-3</v>
      </c>
      <c r="O70" s="62"/>
      <c r="P70" s="141">
        <f t="shared" si="58"/>
        <v>0.29603744658445225</v>
      </c>
      <c r="Q70" s="148">
        <f>N$110</f>
        <v>0.9425190739461784</v>
      </c>
      <c r="R70" s="152">
        <f t="shared" si="59"/>
        <v>2.3858155258797295E-2</v>
      </c>
      <c r="S70" s="65"/>
      <c r="T70" s="62"/>
      <c r="U70" s="65"/>
    </row>
    <row r="71" spans="1:51">
      <c r="A71" t="s">
        <v>692</v>
      </c>
      <c r="B71" s="11">
        <f t="shared" si="50"/>
        <v>52.5</v>
      </c>
      <c r="C71">
        <v>55</v>
      </c>
      <c r="D71">
        <f t="shared" si="60"/>
        <v>525</v>
      </c>
      <c r="E71" s="101">
        <f t="shared" si="51"/>
        <v>1.6426796317045815</v>
      </c>
      <c r="F71" s="143">
        <f t="shared" si="52"/>
        <v>1.6426796317045817E-2</v>
      </c>
      <c r="G71" s="61">
        <v>1</v>
      </c>
      <c r="H71" s="32">
        <f t="shared" si="53"/>
        <v>319.59975022957832</v>
      </c>
      <c r="I71" s="144">
        <f t="shared" si="54"/>
        <v>8.5158801080923788E-2</v>
      </c>
      <c r="J71" s="145">
        <f t="shared" si="55"/>
        <v>1.3988862799601562E-3</v>
      </c>
      <c r="K71" s="4"/>
      <c r="L71" s="143">
        <f t="shared" si="56"/>
        <v>8.2133981585229082E-2</v>
      </c>
      <c r="M71" s="148">
        <f>M$109</f>
        <v>0.9865312104132008</v>
      </c>
      <c r="N71" s="151">
        <f t="shared" si="57"/>
        <v>6.9002248749975631E-3</v>
      </c>
      <c r="P71" s="141">
        <f t="shared" si="58"/>
        <v>0.32853592634091633</v>
      </c>
      <c r="Q71" s="148">
        <f>M$110</f>
        <v>0.92688335019144097</v>
      </c>
      <c r="R71" s="152">
        <f t="shared" si="59"/>
        <v>2.5932088034126232E-2</v>
      </c>
      <c r="T71" s="62"/>
      <c r="U71" s="65"/>
    </row>
    <row r="72" spans="1:51">
      <c r="A72" t="s">
        <v>693</v>
      </c>
      <c r="B72" s="11">
        <f t="shared" si="50"/>
        <v>57.5</v>
      </c>
      <c r="C72">
        <v>60</v>
      </c>
      <c r="D72">
        <f t="shared" si="60"/>
        <v>575</v>
      </c>
      <c r="E72" s="101">
        <f t="shared" si="51"/>
        <v>1.8611589967035778</v>
      </c>
      <c r="F72" s="143">
        <f t="shared" si="52"/>
        <v>1.8611589967035779E-2</v>
      </c>
      <c r="G72" s="61">
        <v>1</v>
      </c>
      <c r="H72" s="32">
        <f t="shared" si="53"/>
        <v>308.94727479942372</v>
      </c>
      <c r="I72" s="144">
        <f t="shared" si="54"/>
        <v>8.2320400751998854E-2</v>
      </c>
      <c r="J72" s="145">
        <f t="shared" si="55"/>
        <v>1.5321135447182665E-3</v>
      </c>
      <c r="K72" s="2"/>
      <c r="L72" s="143">
        <f t="shared" si="56"/>
        <v>9.3057949835178899E-2</v>
      </c>
      <c r="M72" s="148">
        <f>L$109</f>
        <v>0.98426711991876437</v>
      </c>
      <c r="N72" s="151">
        <f t="shared" si="57"/>
        <v>7.5400449302418862E-3</v>
      </c>
      <c r="P72" s="141">
        <f t="shared" si="58"/>
        <v>0.3722317993407156</v>
      </c>
      <c r="Q72" s="148">
        <f>L$110</f>
        <v>0.91369330230214241</v>
      </c>
      <c r="R72" s="152">
        <f t="shared" si="59"/>
        <v>2.799763768350948E-2</v>
      </c>
      <c r="T72" s="62"/>
      <c r="U72" s="65"/>
    </row>
    <row r="73" spans="1:51">
      <c r="A73" t="s">
        <v>694</v>
      </c>
      <c r="B73" s="11">
        <f t="shared" si="50"/>
        <v>62.5</v>
      </c>
      <c r="C73">
        <v>65</v>
      </c>
      <c r="D73">
        <f t="shared" si="60"/>
        <v>625</v>
      </c>
      <c r="E73" s="101">
        <f t="shared" si="51"/>
        <v>2.1656805702001996</v>
      </c>
      <c r="F73" s="143">
        <f t="shared" si="52"/>
        <v>2.1656805702001996E-2</v>
      </c>
      <c r="G73" s="40">
        <v>1</v>
      </c>
      <c r="H73" s="32">
        <f t="shared" si="53"/>
        <v>288.59288327189631</v>
      </c>
      <c r="I73" s="144">
        <f t="shared" si="54"/>
        <v>7.6896880933942605E-2</v>
      </c>
      <c r="J73" s="145">
        <f t="shared" si="55"/>
        <v>1.6653408094763767E-3</v>
      </c>
      <c r="K73" s="2"/>
      <c r="L73" s="143">
        <f t="shared" si="56"/>
        <v>0.10828402851000998</v>
      </c>
      <c r="M73" s="148">
        <f>K$109</f>
        <v>0.97599275383598671</v>
      </c>
      <c r="N73" s="151">
        <f t="shared" si="57"/>
        <v>8.1268028135815015E-3</v>
      </c>
      <c r="P73" s="141">
        <f t="shared" si="58"/>
        <v>0.43313611404003993</v>
      </c>
      <c r="Q73" s="148">
        <f>K$110</f>
        <v>0.88062349936131057</v>
      </c>
      <c r="R73" s="152">
        <f t="shared" si="59"/>
        <v>2.933076502540569E-2</v>
      </c>
      <c r="T73" s="62"/>
      <c r="U73" s="65"/>
    </row>
    <row r="74" spans="1:51">
      <c r="A74" t="s">
        <v>695</v>
      </c>
      <c r="B74" s="11">
        <f t="shared" si="50"/>
        <v>67.5</v>
      </c>
      <c r="C74">
        <v>70</v>
      </c>
      <c r="D74">
        <f t="shared" si="60"/>
        <v>675</v>
      </c>
      <c r="E74" s="101">
        <f t="shared" si="51"/>
        <v>2.6131259297527527</v>
      </c>
      <c r="F74" s="143">
        <f t="shared" si="52"/>
        <v>2.6131259297527527E-2</v>
      </c>
      <c r="G74" s="40">
        <v>1</v>
      </c>
      <c r="H74" s="32">
        <f t="shared" si="53"/>
        <v>258.31131684643566</v>
      </c>
      <c r="I74" s="144">
        <f t="shared" si="54"/>
        <v>6.8828220399032303E-2</v>
      </c>
      <c r="J74" s="145">
        <f t="shared" si="55"/>
        <v>1.7985680742344868E-3</v>
      </c>
      <c r="K74" s="2"/>
      <c r="L74" s="143">
        <f t="shared" si="56"/>
        <v>0.13065629648763763</v>
      </c>
      <c r="M74" s="148">
        <f>J$109</f>
        <v>0.95910594447782227</v>
      </c>
      <c r="N74" s="151">
        <f t="shared" si="57"/>
        <v>8.6250866577316267E-3</v>
      </c>
      <c r="P74" s="141">
        <f t="shared" si="58"/>
        <v>0.52262518595055052</v>
      </c>
      <c r="Q74" s="148">
        <f>J$110</f>
        <v>0.82817529400317391</v>
      </c>
      <c r="R74" s="152">
        <f t="shared" si="59"/>
        <v>2.9790592873277365E-2</v>
      </c>
      <c r="T74" s="62"/>
      <c r="U74" s="65"/>
    </row>
    <row r="75" spans="1:51">
      <c r="A75" t="s">
        <v>696</v>
      </c>
      <c r="B75" s="11">
        <f t="shared" si="50"/>
        <v>72.5</v>
      </c>
      <c r="C75">
        <v>75</v>
      </c>
      <c r="D75">
        <f t="shared" si="60"/>
        <v>725</v>
      </c>
      <c r="E75" s="101">
        <f t="shared" si="51"/>
        <v>3.3255095234230398</v>
      </c>
      <c r="F75" s="143">
        <f t="shared" si="52"/>
        <v>3.3255095234230397E-2</v>
      </c>
      <c r="G75" s="40">
        <v>1</v>
      </c>
      <c r="H75" s="32">
        <f t="shared" si="53"/>
        <v>218.01170464059814</v>
      </c>
      <c r="I75" s="144">
        <f t="shared" si="54"/>
        <v>5.8090206189039748E-2</v>
      </c>
      <c r="J75" s="145">
        <f t="shared" si="55"/>
        <v>1.9317953389925968E-3</v>
      </c>
      <c r="K75" s="2"/>
      <c r="L75" s="143">
        <f t="shared" si="56"/>
        <v>0.16627547617115201</v>
      </c>
      <c r="M75" s="148">
        <f>I$109</f>
        <v>0.96520653973198001</v>
      </c>
      <c r="N75" s="151">
        <f t="shared" si="57"/>
        <v>9.3229074730970599E-3</v>
      </c>
      <c r="P75" s="141">
        <f t="shared" si="58"/>
        <v>0.66510190468460806</v>
      </c>
      <c r="Q75" s="148">
        <f>I$110</f>
        <v>0.7892496568162457</v>
      </c>
      <c r="R75" s="152">
        <f t="shared" si="59"/>
        <v>3.0493376166782608E-2</v>
      </c>
      <c r="T75" s="62"/>
      <c r="U75" s="65"/>
    </row>
    <row r="76" spans="1:51">
      <c r="A76" t="s">
        <v>697</v>
      </c>
      <c r="B76" s="11">
        <f t="shared" si="50"/>
        <v>77.5</v>
      </c>
      <c r="C76">
        <v>80</v>
      </c>
      <c r="D76">
        <f t="shared" si="60"/>
        <v>775</v>
      </c>
      <c r="E76" s="101">
        <f t="shared" si="51"/>
        <v>4.620226315345298</v>
      </c>
      <c r="F76" s="143">
        <f t="shared" si="52"/>
        <v>4.620226315345298E-2</v>
      </c>
      <c r="G76" s="40">
        <v>1</v>
      </c>
      <c r="H76" s="32">
        <f t="shared" si="53"/>
        <v>167.74070080202975</v>
      </c>
      <c r="I76" s="144">
        <f t="shared" si="54"/>
        <v>4.4695269512925906E-2</v>
      </c>
      <c r="J76" s="145">
        <f t="shared" si="55"/>
        <v>2.0650226037507071E-3</v>
      </c>
      <c r="K76" s="2"/>
      <c r="L76" s="143">
        <f t="shared" si="56"/>
        <v>0.23101131576726491</v>
      </c>
      <c r="M76" s="148">
        <f>H$109</f>
        <v>0.92776736261813175</v>
      </c>
      <c r="N76" s="151">
        <f t="shared" si="57"/>
        <v>9.5793028741431047E-3</v>
      </c>
      <c r="P76" s="141">
        <f t="shared" si="58"/>
        <v>0.92404526306905965</v>
      </c>
      <c r="Q76" s="148">
        <f>H$110</f>
        <v>0.68886981573021278</v>
      </c>
      <c r="R76" s="152">
        <f t="shared" si="59"/>
        <v>2.8450634810489477E-2</v>
      </c>
      <c r="T76" s="62"/>
      <c r="U76" s="65"/>
    </row>
    <row r="77" spans="1:51">
      <c r="A77" t="s">
        <v>698</v>
      </c>
      <c r="B77" s="11">
        <f t="shared" si="50"/>
        <v>82.5</v>
      </c>
      <c r="C77">
        <v>85</v>
      </c>
      <c r="D77">
        <f t="shared" si="60"/>
        <v>825</v>
      </c>
      <c r="E77" s="101">
        <f t="shared" si="51"/>
        <v>7.6612975755403818</v>
      </c>
      <c r="F77" s="143">
        <f t="shared" si="52"/>
        <v>7.6612975755403823E-2</v>
      </c>
      <c r="G77" s="40">
        <v>0.97</v>
      </c>
      <c r="H77" s="32">
        <f t="shared" si="53"/>
        <v>107.68410858154266</v>
      </c>
      <c r="I77" s="144">
        <f t="shared" si="54"/>
        <v>2.8692918488468524E-2</v>
      </c>
      <c r="J77" s="145">
        <f t="shared" si="55"/>
        <v>2.1323023724535528E-3</v>
      </c>
      <c r="K77" s="2"/>
      <c r="L77" s="143">
        <f t="shared" si="56"/>
        <v>0.38306487877701911</v>
      </c>
      <c r="M77" s="148">
        <f>G$109</f>
        <v>0.85402215564978845</v>
      </c>
      <c r="N77" s="151">
        <f t="shared" si="57"/>
        <v>9.3867704568038196E-3</v>
      </c>
      <c r="P77" s="141">
        <f t="shared" si="58"/>
        <v>1.5322595151080765</v>
      </c>
      <c r="Q77" s="148">
        <f>G$110</f>
        <v>0.53328323239334818</v>
      </c>
      <c r="R77" s="152">
        <f t="shared" si="59"/>
        <v>2.344579590973269E-2</v>
      </c>
      <c r="T77" s="62"/>
      <c r="U77" s="65"/>
      <c r="V77" s="63"/>
      <c r="W77" s="65"/>
      <c r="X77" s="62"/>
      <c r="Y77" s="65"/>
      <c r="AA77" s="62"/>
      <c r="AB77" s="65"/>
      <c r="AC77" s="65"/>
      <c r="AD77" s="65"/>
      <c r="AE77" s="65"/>
    </row>
    <row r="78" spans="1:51">
      <c r="A78" t="s">
        <v>699</v>
      </c>
      <c r="B78" s="11">
        <f t="shared" si="50"/>
        <v>87.5</v>
      </c>
      <c r="C78">
        <v>90</v>
      </c>
      <c r="D78">
        <f t="shared" si="60"/>
        <v>875</v>
      </c>
      <c r="E78" s="101">
        <f t="shared" si="51"/>
        <v>22.925585626053227</v>
      </c>
      <c r="F78" s="143">
        <f t="shared" si="52"/>
        <v>0.22925585626053227</v>
      </c>
      <c r="G78" s="40">
        <v>0.89</v>
      </c>
      <c r="H78" s="32">
        <f t="shared" si="53"/>
        <v>38.166963944669199</v>
      </c>
      <c r="I78" s="144">
        <f t="shared" si="54"/>
        <v>1.0169760420939374E-2</v>
      </c>
      <c r="J78" s="145">
        <f t="shared" si="55"/>
        <v>2.0750146486075653E-3</v>
      </c>
      <c r="K78" s="2"/>
      <c r="L78" s="143">
        <f t="shared" si="56"/>
        <v>1.1462792813026614</v>
      </c>
      <c r="M78" s="148">
        <f>F$109</f>
        <v>0.5830647461885865</v>
      </c>
      <c r="N78" s="151">
        <f t="shared" si="57"/>
        <v>6.7970106147638709E-3</v>
      </c>
      <c r="P78" s="141">
        <f t="shared" si="58"/>
        <v>4.5851171252106457</v>
      </c>
      <c r="Q78" s="148">
        <f>F$110</f>
        <v>0.21458456199413448</v>
      </c>
      <c r="R78" s="152">
        <f t="shared" si="59"/>
        <v>1.0005979988828477E-2</v>
      </c>
      <c r="T78" s="62"/>
      <c r="U78" s="65"/>
      <c r="V78" s="63"/>
      <c r="W78" s="65"/>
      <c r="X78" s="62"/>
      <c r="Y78" s="65"/>
      <c r="AA78" s="62"/>
      <c r="AB78" s="65"/>
      <c r="AC78" s="65"/>
      <c r="AD78" s="65"/>
      <c r="AE78" s="65"/>
    </row>
    <row r="79" spans="1:51">
      <c r="A79" t="s">
        <v>700</v>
      </c>
      <c r="B79" s="2"/>
      <c r="C79" s="2"/>
      <c r="D79" s="2"/>
      <c r="E79" s="2"/>
      <c r="F79" s="2"/>
      <c r="G79" s="2"/>
      <c r="H79" s="2">
        <f>SUM(H61:H78)</f>
        <v>3752.9855537288799</v>
      </c>
      <c r="I79" s="2">
        <f>SUM(I61:I78)</f>
        <v>1</v>
      </c>
      <c r="J79" s="146">
        <f>SUM(J61:J78)</f>
        <v>2.1260406910099214E-2</v>
      </c>
      <c r="K79" s="28"/>
      <c r="L79" s="28"/>
      <c r="M79" s="28"/>
      <c r="N79" s="149">
        <f>SUM(N61:N78)</f>
        <v>9.9537936491785398E-2</v>
      </c>
      <c r="O79" s="11"/>
      <c r="P79" s="11"/>
      <c r="Q79" s="11"/>
      <c r="R79" s="149">
        <f>SUM(R61:R78)</f>
        <v>0.33649473106459082</v>
      </c>
      <c r="T79" s="62"/>
      <c r="U79" s="65"/>
      <c r="V79" s="63"/>
      <c r="W79" s="65"/>
      <c r="X79" s="62"/>
      <c r="Y79" s="65"/>
      <c r="AA79" s="62"/>
      <c r="AB79" s="65"/>
      <c r="AC79" s="65"/>
      <c r="AD79" s="65"/>
      <c r="AE79" s="65"/>
    </row>
    <row r="80" spans="1:51">
      <c r="B80" s="2"/>
      <c r="C80" s="2"/>
      <c r="D80" s="32" t="s">
        <v>705</v>
      </c>
      <c r="E80" s="2"/>
      <c r="F80" s="2"/>
      <c r="G80" s="2"/>
      <c r="H80" s="2"/>
      <c r="I80" s="2"/>
      <c r="J80" s="32">
        <f>J79/0.01</f>
        <v>2.1260406910099214</v>
      </c>
      <c r="K80" s="54" t="s">
        <v>363</v>
      </c>
      <c r="L80" s="32"/>
      <c r="M80" s="32"/>
      <c r="N80" s="32">
        <f>N79/0.05</f>
        <v>1.9907587298357079</v>
      </c>
      <c r="O80" s="54" t="s">
        <v>364</v>
      </c>
      <c r="P80" s="16"/>
      <c r="Q80" s="16"/>
      <c r="R80" s="32">
        <f>R79/0.2</f>
        <v>1.682473655322954</v>
      </c>
      <c r="S80" s="54" t="s">
        <v>365</v>
      </c>
      <c r="T80" s="62"/>
      <c r="U80" s="65"/>
      <c r="V80" s="63"/>
      <c r="W80" s="65"/>
      <c r="X80" s="62"/>
      <c r="Y80" s="65"/>
      <c r="AA80" s="62"/>
      <c r="AB80" s="65"/>
      <c r="AC80" s="65"/>
      <c r="AD80" s="65"/>
      <c r="AE80" s="65"/>
    </row>
    <row r="81" spans="1:31">
      <c r="B81" s="2"/>
      <c r="C81" s="2"/>
      <c r="D81" s="2"/>
      <c r="E81" s="2"/>
      <c r="F81" s="2"/>
      <c r="G81" s="2"/>
      <c r="H81" s="2"/>
      <c r="I81" s="2"/>
      <c r="J81" s="32"/>
      <c r="K81" s="32"/>
      <c r="L81" s="32"/>
      <c r="M81" s="32"/>
      <c r="N81" s="32"/>
      <c r="O81" s="16"/>
      <c r="P81" s="16"/>
      <c r="Q81" s="16"/>
      <c r="R81" s="32"/>
      <c r="T81" s="62"/>
      <c r="U81" s="65"/>
      <c r="V81" s="63"/>
      <c r="W81" s="65"/>
      <c r="X81" s="62"/>
      <c r="Y81" s="65"/>
      <c r="AA81" s="62"/>
      <c r="AB81" s="65"/>
      <c r="AC81" s="65"/>
      <c r="AD81" s="65"/>
      <c r="AE81" s="65"/>
    </row>
    <row r="82" spans="1:31">
      <c r="A82" s="20" t="s">
        <v>399</v>
      </c>
      <c r="B82" s="2"/>
      <c r="C82" s="2"/>
      <c r="D82" s="2"/>
      <c r="E82" s="2"/>
      <c r="F82" s="2"/>
      <c r="G82" s="2"/>
      <c r="H82" s="2"/>
      <c r="I82" s="2"/>
      <c r="J82" s="32"/>
      <c r="K82" s="32"/>
      <c r="L82" s="32"/>
      <c r="M82" s="32"/>
      <c r="N82" s="32"/>
      <c r="O82" s="16"/>
      <c r="P82" s="16"/>
      <c r="Q82" s="16"/>
      <c r="R82" s="32"/>
      <c r="T82" s="62"/>
      <c r="U82" s="65"/>
      <c r="V82" s="63"/>
      <c r="W82" s="65"/>
      <c r="X82" s="62"/>
      <c r="Y82" s="65"/>
      <c r="AA82" s="62"/>
      <c r="AB82" s="65"/>
      <c r="AC82" s="65"/>
      <c r="AD82" s="65"/>
      <c r="AE82" s="65"/>
    </row>
    <row r="83" spans="1:31">
      <c r="A83" t="s">
        <v>660</v>
      </c>
      <c r="C83">
        <v>128</v>
      </c>
      <c r="D83">
        <v>64</v>
      </c>
      <c r="E83">
        <v>32</v>
      </c>
      <c r="F83">
        <f>16*SQRT(2)</f>
        <v>22.627416997969522</v>
      </c>
      <c r="G83">
        <v>16</v>
      </c>
      <c r="H83">
        <f>8*SQRT(2)</f>
        <v>11.313708498984761</v>
      </c>
      <c r="I83">
        <v>8</v>
      </c>
      <c r="J83">
        <f>4*1.41421</f>
        <v>5.6568399999999999</v>
      </c>
      <c r="K83">
        <v>4</v>
      </c>
      <c r="L83" s="1">
        <v>2.8279999999999998</v>
      </c>
      <c r="M83">
        <v>2.4</v>
      </c>
      <c r="N83">
        <v>2</v>
      </c>
      <c r="O83">
        <v>1.7</v>
      </c>
      <c r="P83">
        <f>1*(SQRT(2))</f>
        <v>1.4142135623730951</v>
      </c>
      <c r="Q83">
        <v>1</v>
      </c>
      <c r="R83" s="63"/>
      <c r="S83" s="65"/>
      <c r="T83" s="62"/>
      <c r="U83" s="65"/>
      <c r="V83" s="63"/>
      <c r="W83" s="65"/>
      <c r="X83" s="62"/>
      <c r="Y83" s="65"/>
      <c r="AA83" s="62"/>
      <c r="AB83" s="65"/>
      <c r="AC83" s="65"/>
      <c r="AD83" s="65"/>
      <c r="AE83" s="65"/>
    </row>
    <row r="84" spans="1:31">
      <c r="A84" t="s">
        <v>661</v>
      </c>
      <c r="L84" s="1"/>
      <c r="R84" s="63"/>
      <c r="S84" s="65"/>
      <c r="T84" s="62"/>
      <c r="U84" s="65"/>
      <c r="V84" s="63"/>
      <c r="W84" s="65"/>
      <c r="X84" s="62"/>
      <c r="Y84" s="65"/>
      <c r="AA84" s="62"/>
      <c r="AB84" s="65"/>
      <c r="AC84" s="65"/>
      <c r="AD84" s="65"/>
      <c r="AE84" s="65"/>
    </row>
    <row r="85" spans="1:31">
      <c r="A85" s="66" t="s">
        <v>662</v>
      </c>
      <c r="B85" s="66"/>
      <c r="C85" s="66">
        <v>0.44700000000000001</v>
      </c>
      <c r="D85" s="66">
        <v>0.89500000000000002</v>
      </c>
      <c r="E85" s="66">
        <v>1.79</v>
      </c>
      <c r="F85" s="59">
        <f>ASIN(1/22.627)*180/PI()</f>
        <v>2.5330113396904266</v>
      </c>
      <c r="G85" s="66">
        <v>3.59</v>
      </c>
      <c r="H85" s="59">
        <f>ASIN(1/11.314)*180/PI()</f>
        <v>5.0707656908845458</v>
      </c>
      <c r="I85" s="66">
        <v>7.18</v>
      </c>
      <c r="J85" s="59">
        <f>ASIN(1/5.6568)*180/PI()</f>
        <v>10.182166091695077</v>
      </c>
      <c r="K85" s="66">
        <v>14.48</v>
      </c>
      <c r="L85" s="59">
        <f>ASIN(1/2.828)*180/PI()</f>
        <v>20.708081851905206</v>
      </c>
      <c r="M85" s="59">
        <f>ASIN(1/2.4)*180/PI()</f>
        <v>24.624318352164082</v>
      </c>
      <c r="N85" s="66">
        <v>30</v>
      </c>
      <c r="O85" s="59">
        <f>ASIN(1/1.7)*180/PI()</f>
        <v>36.031879072470559</v>
      </c>
      <c r="P85" s="66">
        <v>45</v>
      </c>
      <c r="Q85" s="66">
        <v>90</v>
      </c>
      <c r="R85" s="63"/>
      <c r="S85" s="65"/>
      <c r="T85" s="62"/>
      <c r="U85" s="65"/>
      <c r="V85" s="63"/>
      <c r="W85" s="65"/>
      <c r="X85" s="62"/>
      <c r="Y85" s="65"/>
      <c r="AA85" s="62"/>
      <c r="AB85" s="65"/>
      <c r="AC85" s="65"/>
      <c r="AD85" s="65"/>
      <c r="AE85" s="65"/>
    </row>
    <row r="86" spans="1:31">
      <c r="A86" s="14" t="s">
        <v>663</v>
      </c>
      <c r="B86" s="14" t="s">
        <v>664</v>
      </c>
      <c r="C86" s="150">
        <f t="shared" ref="C86:D88" si="61">D86*(2-D86)</f>
        <v>0.72374833230079127</v>
      </c>
      <c r="D86" s="150">
        <f t="shared" si="61"/>
        <v>0.47440351247443757</v>
      </c>
      <c r="E86" s="150">
        <f>G86*(2-G86)</f>
        <v>0.27501966404214628</v>
      </c>
      <c r="F86" s="150">
        <f>(F83-G83)*(E86-G86)/G83+G86</f>
        <v>0.20093089787304227</v>
      </c>
      <c r="G86" s="150">
        <f>I86*(2-I86)</f>
        <v>0.14854222890512433</v>
      </c>
      <c r="H86" s="150">
        <f>(H$3-I$3)*(G86-I86)/I$3+I86</f>
        <v>0.10678331603647795</v>
      </c>
      <c r="I86" s="150">
        <f>K86*(2-K86)</f>
        <v>7.7255305572079894E-2</v>
      </c>
      <c r="J86" s="150">
        <f>(J$3-K$3)*(I86-K86)/K$3+K86</f>
        <v>5.5082383423111211E-2</v>
      </c>
      <c r="K86" s="150">
        <f>N86*(2-N86)</f>
        <v>3.940399E-2</v>
      </c>
      <c r="L86" s="150">
        <f>(L$3-N$3)*(K86-N86)/N$3+N86</f>
        <v>2.7974651859999998E-2</v>
      </c>
      <c r="M86" s="150">
        <f>(M$3-N$3)*(K86-N86)/N$3+N86</f>
        <v>2.3800797999999998E-2</v>
      </c>
      <c r="N86" s="14">
        <f>Q86*(2-Q86)</f>
        <v>1.9900000000000001E-2</v>
      </c>
      <c r="O86" s="150">
        <f>(O$3-Q$3)*(N86-Q86)/Q$3+Q86</f>
        <v>1.6930000000000001E-2</v>
      </c>
      <c r="P86" s="150">
        <f>(P$3-Q$3)*(N86-Q86)/Q$3+Q86</f>
        <v>1.4100714267493642E-2</v>
      </c>
      <c r="Q86" s="14">
        <v>0.01</v>
      </c>
      <c r="R86" s="63"/>
      <c r="S86" s="65"/>
      <c r="T86" s="62"/>
      <c r="U86" s="65"/>
      <c r="V86" s="63"/>
      <c r="W86" s="65"/>
      <c r="X86" s="62"/>
      <c r="Y86" s="65"/>
      <c r="AA86" s="62"/>
      <c r="AB86" s="65"/>
      <c r="AC86" s="65"/>
      <c r="AD86" s="65"/>
      <c r="AE86" s="65"/>
    </row>
    <row r="87" spans="1:31">
      <c r="A87" s="14" t="s">
        <v>665</v>
      </c>
      <c r="B87" s="14" t="s">
        <v>664</v>
      </c>
      <c r="C87" s="150">
        <f t="shared" si="61"/>
        <v>0.99859193897646481</v>
      </c>
      <c r="D87" s="150">
        <f t="shared" si="61"/>
        <v>0.96247586078888392</v>
      </c>
      <c r="E87" s="150">
        <f>G87*(2-G87)</f>
        <v>0.80628851554149894</v>
      </c>
      <c r="F87" s="150">
        <f>(F83-G83)*(E87-G87)/G83+G87</f>
        <v>0.66194184261574884</v>
      </c>
      <c r="G87" s="150">
        <f>I87*(2-I87)</f>
        <v>0.55987333134823436</v>
      </c>
      <c r="H87" s="150">
        <f>(H$3-I$3)*(G87-I87)/I$3+I87</f>
        <v>0.42907087358862461</v>
      </c>
      <c r="I87" s="150">
        <f>K87*(2-K87)</f>
        <v>0.33657956871093753</v>
      </c>
      <c r="J87" s="150">
        <f>(J$3-K$3)*(I87-K87)/K$3+K87</f>
        <v>0.24807500696825743</v>
      </c>
      <c r="K87" s="150">
        <f>N87*(2-N87)</f>
        <v>0.18549375000000001</v>
      </c>
      <c r="L87" s="150">
        <f>(L$3-N$3)*(K87-N87)/N$3+N87</f>
        <v>0.13392941250000001</v>
      </c>
      <c r="M87" s="150">
        <f>(M$3-N$3)*(K87-N87)/N$3+N87</f>
        <v>0.11509875</v>
      </c>
      <c r="N87" s="14">
        <f>Q87*(2-Q87)</f>
        <v>9.7500000000000003E-2</v>
      </c>
      <c r="O87" s="150">
        <f>(O$3-Q$3)*(N87-Q87)/Q$3+Q87</f>
        <v>8.3249999999999991E-2</v>
      </c>
      <c r="P87" s="150">
        <f>(P$3-Q$3)*(N87-Q87)/Q$3+Q87</f>
        <v>6.9675144212722029E-2</v>
      </c>
      <c r="Q87" s="14">
        <v>0.05</v>
      </c>
      <c r="R87" s="63"/>
      <c r="S87" s="65"/>
      <c r="T87" s="62"/>
      <c r="U87" s="65"/>
      <c r="V87" s="63"/>
      <c r="W87" s="65"/>
      <c r="X87" s="62"/>
      <c r="Y87" s="65"/>
      <c r="AA87" s="62"/>
      <c r="AB87" s="65"/>
      <c r="AC87" s="65"/>
      <c r="AD87" s="65"/>
      <c r="AE87" s="65"/>
    </row>
    <row r="88" spans="1:31">
      <c r="A88" s="14" t="s">
        <v>666</v>
      </c>
      <c r="B88" s="14" t="s">
        <v>664</v>
      </c>
      <c r="C88" s="150">
        <f t="shared" si="61"/>
        <v>0.99999999999960609</v>
      </c>
      <c r="D88" s="150">
        <f t="shared" si="61"/>
        <v>0.99999937228982649</v>
      </c>
      <c r="E88" s="150">
        <f>G88*(2-G88)</f>
        <v>0.99920771837485733</v>
      </c>
      <c r="F88" s="150">
        <f>(F83-G83)*(E88-G88)/G83+G88</f>
        <v>0.9831834038168018</v>
      </c>
      <c r="G88" s="150">
        <f>I88*(2-I88)</f>
        <v>0.97185250232893439</v>
      </c>
      <c r="H88" s="150">
        <f>(H$3-I$3)*(G88-I88)/I$3+I88</f>
        <v>0.89006226877840844</v>
      </c>
      <c r="I88" s="150">
        <f>K88*(2-K88)</f>
        <v>0.83222784000000005</v>
      </c>
      <c r="J88" s="150">
        <f>(J$3-K$3)*(I88-K88)/K$3+K88</f>
        <v>0.69056750960640001</v>
      </c>
      <c r="K88" s="150">
        <f>N88*(2-N88)</f>
        <v>0.59040000000000004</v>
      </c>
      <c r="L88" s="150">
        <f>(L$3-N$3)*(K88-N88)/N$3+N88</f>
        <v>0.4553856</v>
      </c>
      <c r="M88" s="150">
        <f>(M$3-N$3)*(K88-N88)/N$3+N88</f>
        <v>0.40608000000000005</v>
      </c>
      <c r="N88" s="14">
        <f>Q88*(2-Q88)</f>
        <v>0.36000000000000004</v>
      </c>
      <c r="O88" s="150">
        <f>(O$3-Q$3)*(N88-Q88)/Q$3+Q88</f>
        <v>0.31200000000000006</v>
      </c>
      <c r="P88" s="150">
        <f>(P$3-Q$3)*(N88-Q88)/Q$3+Q88</f>
        <v>0.26627416997969522</v>
      </c>
      <c r="Q88" s="14">
        <v>0.2</v>
      </c>
      <c r="R88" s="63"/>
      <c r="S88" s="65"/>
      <c r="T88" s="62"/>
      <c r="U88" s="65"/>
      <c r="V88" s="63"/>
      <c r="W88" s="65"/>
      <c r="X88" s="62"/>
      <c r="Y88" s="65"/>
      <c r="AA88" s="62"/>
      <c r="AB88" s="65"/>
      <c r="AC88" s="65"/>
      <c r="AD88" s="65"/>
      <c r="AE88" s="65"/>
    </row>
    <row r="89" spans="1:31">
      <c r="B89" s="49"/>
      <c r="C89" s="49"/>
      <c r="D89" s="49"/>
      <c r="E89" s="32"/>
      <c r="F89" s="49"/>
      <c r="G89" s="49"/>
      <c r="H89" s="49"/>
      <c r="I89" s="49"/>
      <c r="J89" s="49"/>
      <c r="K89" s="49"/>
      <c r="L89" s="49"/>
      <c r="M89" s="49"/>
      <c r="N89" s="49"/>
      <c r="O89" s="32"/>
      <c r="P89" s="62"/>
      <c r="Q89" s="65"/>
      <c r="R89" s="63"/>
      <c r="S89" s="65"/>
      <c r="T89" s="62"/>
      <c r="U89" s="65"/>
      <c r="V89" s="63"/>
      <c r="W89" s="65"/>
      <c r="X89" s="62"/>
      <c r="Y89" s="65"/>
      <c r="AA89" s="62"/>
      <c r="AB89" s="65"/>
      <c r="AC89" s="65"/>
      <c r="AD89" s="65"/>
      <c r="AE89" s="65"/>
    </row>
    <row r="90" spans="1:31">
      <c r="A90" s="14" t="s">
        <v>701</v>
      </c>
      <c r="B90" s="49"/>
      <c r="C90" s="9"/>
      <c r="D90" s="9"/>
      <c r="E90" s="2"/>
      <c r="F90" s="2"/>
      <c r="G90" s="2"/>
      <c r="H90" s="2"/>
      <c r="I90" s="2"/>
      <c r="J90" s="2"/>
      <c r="K90" s="2"/>
      <c r="L90" s="2"/>
      <c r="M90" s="2"/>
      <c r="O90" s="62"/>
      <c r="P90" s="62"/>
      <c r="Q90" s="65"/>
      <c r="R90" s="63"/>
      <c r="S90" s="65"/>
      <c r="T90" s="62"/>
      <c r="U90" s="65"/>
      <c r="V90" s="63"/>
      <c r="W90" s="65"/>
      <c r="X90" s="62"/>
      <c r="Y90" s="65"/>
      <c r="AA90" s="62"/>
      <c r="AB90" s="65"/>
      <c r="AC90" s="65"/>
      <c r="AD90" s="65"/>
      <c r="AE90" s="65"/>
    </row>
    <row r="91" spans="1:31">
      <c r="A91" s="14" t="s">
        <v>663</v>
      </c>
      <c r="B91" s="54"/>
      <c r="C91" s="9"/>
      <c r="D91" s="9"/>
      <c r="E91" s="2">
        <f>E86/E$83/$Q86</f>
        <v>0.85943645013170711</v>
      </c>
      <c r="F91" s="2">
        <f>F86/F$83/$Q86</f>
        <v>0.88799750272456135</v>
      </c>
      <c r="G91" s="2">
        <f t="shared" ref="G91:Q91" si="62">G86/G$83/$Q86</f>
        <v>0.9283889306570271</v>
      </c>
      <c r="H91" s="2">
        <f t="shared" si="62"/>
        <v>0.94384008608724701</v>
      </c>
      <c r="I91" s="2">
        <f t="shared" si="62"/>
        <v>0.96569131965099864</v>
      </c>
      <c r="J91" s="2">
        <f t="shared" si="62"/>
        <v>0.97373062386617282</v>
      </c>
      <c r="K91" s="2">
        <f t="shared" si="62"/>
        <v>0.98509974999999994</v>
      </c>
      <c r="L91" s="2">
        <f t="shared" si="62"/>
        <v>0.98920268246110321</v>
      </c>
      <c r="M91" s="2">
        <f t="shared" si="62"/>
        <v>0.99169991666666657</v>
      </c>
      <c r="N91" s="2">
        <f t="shared" si="62"/>
        <v>0.995</v>
      </c>
      <c r="O91" s="2">
        <f t="shared" si="62"/>
        <v>0.99588235294117644</v>
      </c>
      <c r="P91" s="2">
        <f t="shared" si="62"/>
        <v>0.9970710678118655</v>
      </c>
      <c r="Q91" s="2">
        <f t="shared" si="62"/>
        <v>1</v>
      </c>
      <c r="R91" s="63"/>
      <c r="S91" s="65"/>
      <c r="T91" s="62"/>
      <c r="U91" s="65"/>
      <c r="V91" s="63"/>
      <c r="W91" s="65"/>
      <c r="X91" s="62"/>
      <c r="Y91" s="65"/>
      <c r="AA91" s="62"/>
      <c r="AB91" s="65"/>
      <c r="AC91" s="65"/>
      <c r="AD91" s="65"/>
      <c r="AE91" s="65"/>
    </row>
    <row r="92" spans="1:31">
      <c r="A92" s="14" t="s">
        <v>665</v>
      </c>
      <c r="B92" s="15"/>
      <c r="C92" s="15"/>
      <c r="D92" s="15"/>
      <c r="E92" s="2">
        <f t="shared" ref="E92:Q93" si="63">E87/E$83/$Q87</f>
        <v>0.50393032221343681</v>
      </c>
      <c r="F92" s="2">
        <f t="shared" si="63"/>
        <v>0.58507945708089293</v>
      </c>
      <c r="G92" s="2">
        <f t="shared" si="63"/>
        <v>0.69984166418529292</v>
      </c>
      <c r="H92" s="2">
        <f t="shared" si="63"/>
        <v>0.75849731081038074</v>
      </c>
      <c r="I92" s="2">
        <f t="shared" si="63"/>
        <v>0.84144892177734376</v>
      </c>
      <c r="J92" s="2">
        <f t="shared" si="63"/>
        <v>0.87707980769566551</v>
      </c>
      <c r="K92" s="2">
        <f t="shared" si="63"/>
        <v>0.92746875000000006</v>
      </c>
      <c r="L92" s="2">
        <f t="shared" si="63"/>
        <v>0.94716699080622357</v>
      </c>
      <c r="M92" s="2">
        <f t="shared" si="63"/>
        <v>0.95915625000000004</v>
      </c>
      <c r="N92" s="2">
        <f t="shared" si="63"/>
        <v>0.97499999999999998</v>
      </c>
      <c r="O92" s="2">
        <f t="shared" si="63"/>
        <v>0.9794117647058822</v>
      </c>
      <c r="P92" s="2">
        <f t="shared" si="63"/>
        <v>0.98535533905932748</v>
      </c>
      <c r="Q92" s="2">
        <f t="shared" si="63"/>
        <v>1</v>
      </c>
      <c r="R92" s="63"/>
      <c r="S92" s="65"/>
      <c r="T92" s="62"/>
      <c r="U92" s="65"/>
      <c r="V92" s="63"/>
      <c r="W92" s="65"/>
      <c r="X92" s="62"/>
      <c r="Y92" s="65"/>
      <c r="AA92" s="62"/>
      <c r="AB92" s="65"/>
      <c r="AC92" s="65"/>
      <c r="AD92" s="65"/>
      <c r="AE92" s="65"/>
    </row>
    <row r="93" spans="1:31">
      <c r="A93" s="14" t="s">
        <v>666</v>
      </c>
      <c r="B93" s="15"/>
      <c r="C93" s="15"/>
      <c r="D93" s="15"/>
      <c r="E93" s="2">
        <f t="shared" si="63"/>
        <v>0.15612620599607144</v>
      </c>
      <c r="F93" s="2">
        <f t="shared" si="63"/>
        <v>0.21725489124654129</v>
      </c>
      <c r="G93" s="2">
        <f t="shared" si="63"/>
        <v>0.30370390697779198</v>
      </c>
      <c r="H93" s="2">
        <f t="shared" si="63"/>
        <v>0.39335566620718504</v>
      </c>
      <c r="I93" s="2">
        <f t="shared" si="63"/>
        <v>0.5201424</v>
      </c>
      <c r="J93" s="2">
        <f t="shared" si="63"/>
        <v>0.61038274867806053</v>
      </c>
      <c r="K93" s="2">
        <f t="shared" si="63"/>
        <v>0.73799999999999999</v>
      </c>
      <c r="L93" s="2">
        <f t="shared" si="63"/>
        <v>0.80513719943422912</v>
      </c>
      <c r="M93" s="2">
        <f t="shared" si="63"/>
        <v>0.84600000000000009</v>
      </c>
      <c r="N93" s="2">
        <f t="shared" si="63"/>
        <v>0.9</v>
      </c>
      <c r="O93" s="2">
        <f t="shared" si="63"/>
        <v>0.91764705882352948</v>
      </c>
      <c r="P93" s="2">
        <f t="shared" si="63"/>
        <v>0.94142135623730938</v>
      </c>
      <c r="Q93" s="2">
        <f t="shared" si="63"/>
        <v>1</v>
      </c>
      <c r="R93" s="63"/>
      <c r="S93" s="65"/>
      <c r="T93" s="62"/>
      <c r="U93" s="65"/>
      <c r="V93" s="63"/>
      <c r="W93" s="65"/>
      <c r="X93" s="62"/>
      <c r="Y93" s="65"/>
      <c r="AA93" s="62"/>
      <c r="AB93" s="65"/>
      <c r="AC93" s="65"/>
      <c r="AD93" s="65"/>
      <c r="AE93" s="65"/>
    </row>
    <row r="94" spans="1:31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62"/>
      <c r="Q94" s="65"/>
      <c r="R94" s="63"/>
      <c r="S94" s="65"/>
      <c r="T94" s="62"/>
      <c r="U94" s="65"/>
      <c r="V94" s="63"/>
      <c r="W94" s="65"/>
      <c r="X94" s="62"/>
      <c r="Y94" s="65"/>
      <c r="AA94" s="62"/>
      <c r="AB94" s="65"/>
      <c r="AC94" s="65"/>
      <c r="AD94" s="65"/>
      <c r="AE94" s="65"/>
    </row>
    <row r="95" spans="1:31">
      <c r="A95" s="14" t="s">
        <v>702</v>
      </c>
      <c r="B95" s="15"/>
      <c r="C95" s="15"/>
      <c r="D95" s="15"/>
      <c r="E95" s="15"/>
      <c r="F95" s="15">
        <v>2.5</v>
      </c>
      <c r="G95" s="15">
        <v>7.5</v>
      </c>
      <c r="H95" s="15">
        <v>12.5</v>
      </c>
      <c r="I95" s="15">
        <v>17.5</v>
      </c>
      <c r="J95" s="15">
        <v>22.5</v>
      </c>
      <c r="K95" s="15">
        <v>27.5</v>
      </c>
      <c r="L95" s="15">
        <v>32.5</v>
      </c>
      <c r="M95" s="15">
        <v>37.5</v>
      </c>
      <c r="N95" s="15">
        <v>42.5</v>
      </c>
      <c r="O95" s="15">
        <v>47.5</v>
      </c>
      <c r="P95" s="15">
        <v>52.5</v>
      </c>
      <c r="Q95" s="15">
        <v>57.5</v>
      </c>
      <c r="R95" s="15">
        <v>62.5</v>
      </c>
      <c r="S95" s="15">
        <v>67.5</v>
      </c>
      <c r="T95" s="15">
        <v>72.5</v>
      </c>
      <c r="U95" s="15">
        <v>77.5</v>
      </c>
      <c r="V95" s="15">
        <v>82.5</v>
      </c>
      <c r="W95" s="15">
        <v>87.5</v>
      </c>
      <c r="X95" s="62"/>
      <c r="Y95" s="65"/>
      <c r="AA95" s="62"/>
      <c r="AB95" s="65"/>
      <c r="AC95" s="65"/>
      <c r="AD95" s="65"/>
      <c r="AE95" s="65"/>
    </row>
    <row r="96" spans="1:31">
      <c r="A96" s="14" t="s">
        <v>663</v>
      </c>
      <c r="B96" s="15"/>
      <c r="C96" s="15"/>
      <c r="D96" s="15"/>
      <c r="E96" s="15"/>
      <c r="F96" s="153">
        <f>((F$85-F$95)*E86+(F$95-E$85)*F86)/(F$85-E$85)</f>
        <v>0.20422259652769792</v>
      </c>
      <c r="G96" s="153">
        <f t="shared" ref="G96:M98" si="64">((J$85-G$95)*I86+(G$95-I$85)*J86)/(J$85-I$85)</f>
        <v>7.4891900327014371E-2</v>
      </c>
      <c r="H96" s="153">
        <f t="shared" si="64"/>
        <v>4.6626981776805014E-2</v>
      </c>
      <c r="I96" s="153">
        <f t="shared" si="64"/>
        <v>3.386189822864006E-2</v>
      </c>
      <c r="J96" s="153">
        <f t="shared" si="64"/>
        <v>2.6064857985514861E-2</v>
      </c>
      <c r="K96" s="153">
        <f t="shared" si="64"/>
        <v>2.1714094590948453E-2</v>
      </c>
      <c r="L96" s="153">
        <f t="shared" si="64"/>
        <v>1.8669040308866996E-2</v>
      </c>
      <c r="M96" s="153">
        <f t="shared" si="64"/>
        <v>1.6466833454029113E-2</v>
      </c>
      <c r="N96" s="153">
        <f t="shared" ref="N96:O98" si="65">((P$85-N$95)*O86+(N$95-O$85)*P86)/(P$85-O$85)</f>
        <v>1.4889420663005465E-2</v>
      </c>
      <c r="O96" s="153">
        <f t="shared" si="65"/>
        <v>1.3872896808188439E-2</v>
      </c>
      <c r="P96" s="153">
        <f>((Q$85-P$95)*P86+(P$95-P$85)*Q86)/(Q$85-P$85)</f>
        <v>1.3417261889578034E-2</v>
      </c>
      <c r="Q96" s="153">
        <f>((Q$85-Q$95)*P86+(Q$95-P$85)*Q86)/(Q$85-P$85)</f>
        <v>1.296162697096763E-2</v>
      </c>
      <c r="R96" s="153">
        <f>((Q$85-R$95)*P86+(R$95-P$85)*Q86)/(Q$85-P$85)</f>
        <v>1.2505992052357227E-2</v>
      </c>
      <c r="S96" s="153">
        <f>((Q$85-S$95)*P86+(S$95-P$85)*Q86)/(Q$85-P$85)</f>
        <v>1.205035713374682E-2</v>
      </c>
      <c r="T96" s="153">
        <f>((Q$85-T$95)*P86+(T$95-P$85)*Q86)/(Q$85-P$85)</f>
        <v>1.1594722215136417E-2</v>
      </c>
      <c r="U96" s="153">
        <f>((Q$85-U$95)*P86+(U$95-P$85)*Q86)/(Q$85-P$85)</f>
        <v>1.1139087296526013E-2</v>
      </c>
      <c r="V96" s="153">
        <f>((Q$85-V$95)*P86+(V$95-P$85)*Q86)/(Q$85-P$85)</f>
        <v>1.0683452377915606E-2</v>
      </c>
      <c r="W96" s="153">
        <f>((Q$85-W$95)*P86+(W$95-P$85)*Q86)/(Q$85-P$85)</f>
        <v>1.0227817459305202E-2</v>
      </c>
      <c r="X96" s="62"/>
      <c r="Y96" s="65"/>
      <c r="AA96" s="62"/>
      <c r="AB96" s="65"/>
      <c r="AC96" s="65"/>
      <c r="AD96" s="65"/>
      <c r="AE96" s="65"/>
    </row>
    <row r="97" spans="1:31">
      <c r="A97" s="14" t="s">
        <v>665</v>
      </c>
      <c r="B97" s="15"/>
      <c r="C97" s="15"/>
      <c r="D97" s="15"/>
      <c r="E97" s="15"/>
      <c r="F97" s="153">
        <f>((F$85-F$95)*E87+(F$95-E$85)*F87)/(F$85-E$85)</f>
        <v>0.66835503821397513</v>
      </c>
      <c r="G97" s="153">
        <f t="shared" si="64"/>
        <v>0.32714589352687506</v>
      </c>
      <c r="H97" s="153">
        <f t="shared" si="64"/>
        <v>0.21432475916433985</v>
      </c>
      <c r="I97" s="153">
        <f t="shared" si="64"/>
        <v>0.160490176997445</v>
      </c>
      <c r="J97" s="153">
        <f t="shared" si="64"/>
        <v>0.12531323064475008</v>
      </c>
      <c r="K97" s="153">
        <f t="shared" si="64"/>
        <v>0.10568442718193918</v>
      </c>
      <c r="L97" s="153">
        <f t="shared" si="64"/>
        <v>9.159388026981638E-2</v>
      </c>
      <c r="M97" s="153">
        <f t="shared" si="64"/>
        <v>8.1027736269331588E-2</v>
      </c>
      <c r="N97" s="153">
        <f t="shared" si="65"/>
        <v>7.3459341564925215E-2</v>
      </c>
      <c r="O97" s="153">
        <f t="shared" si="65"/>
        <v>6.8582080645348584E-2</v>
      </c>
      <c r="P97" s="153">
        <f>((Q$85-P$95)*P87+(P$95-P$85)*Q87)/(Q$85-P$85)</f>
        <v>6.6395953510601693E-2</v>
      </c>
      <c r="Q97" s="153">
        <f>((Q$85-Q$95)*P87+(Q$95-P$85)*Q87)/(Q$85-P$85)</f>
        <v>6.4209826375854803E-2</v>
      </c>
      <c r="R97" s="153">
        <f>((Q$85-R$95)*P87+(R$95-P$85)*Q87)/(Q$85-P$85)</f>
        <v>6.2023699241107906E-2</v>
      </c>
      <c r="S97" s="153">
        <f>((Q$85-S$95)*P87+(S$95-P$85)*Q87)/(Q$85-P$85)</f>
        <v>5.9837572106361016E-2</v>
      </c>
      <c r="T97" s="153">
        <f>((Q$85-T$95)*P87+(T$95-P$85)*Q87)/(Q$85-P$85)</f>
        <v>5.7651444971614119E-2</v>
      </c>
      <c r="U97" s="153">
        <f>((Q$85-U$95)*P87+(U$95-P$85)*Q87)/(Q$85-P$85)</f>
        <v>5.5465317836867228E-2</v>
      </c>
      <c r="V97" s="153">
        <f>((Q$85-V$95)*P87+(V$95-P$85)*Q87)/(Q$85-P$85)</f>
        <v>5.3279190702120338E-2</v>
      </c>
      <c r="W97" s="153">
        <f>((Q$85-W$95)*P87+(W$95-P$85)*Q87)/(Q$85-P$85)</f>
        <v>5.1093063567373448E-2</v>
      </c>
      <c r="X97" s="62"/>
      <c r="Y97" s="65"/>
      <c r="AA97" s="62"/>
      <c r="AB97" s="65"/>
      <c r="AC97" s="65"/>
      <c r="AD97" s="65"/>
      <c r="AE97" s="65"/>
    </row>
    <row r="98" spans="1:31">
      <c r="A98" s="14" t="s">
        <v>666</v>
      </c>
      <c r="B98" s="49"/>
      <c r="C98" s="9"/>
      <c r="D98" s="9"/>
      <c r="E98" s="2"/>
      <c r="F98" s="153">
        <f>((F$85-F$95)*E88+(F$95-E$85)*F88)/(F$85-E$85)</f>
        <v>0.98389535000513662</v>
      </c>
      <c r="G98" s="153">
        <f t="shared" si="64"/>
        <v>0.81712830708230022</v>
      </c>
      <c r="H98" s="153">
        <f t="shared" si="64"/>
        <v>0.63654689009675924</v>
      </c>
      <c r="I98" s="153">
        <f t="shared" si="64"/>
        <v>0.52493145002015851</v>
      </c>
      <c r="J98" s="153">
        <f t="shared" si="64"/>
        <v>0.43282526702806073</v>
      </c>
      <c r="K98" s="153">
        <f t="shared" si="64"/>
        <v>0.38142984044569977</v>
      </c>
      <c r="L98" s="153">
        <f t="shared" si="64"/>
        <v>0.34010570196148687</v>
      </c>
      <c r="M98" s="153">
        <f t="shared" si="64"/>
        <v>0.304514480065117</v>
      </c>
      <c r="N98" s="153">
        <f t="shared" si="65"/>
        <v>0.27902094000816918</v>
      </c>
      <c r="O98" s="153">
        <f t="shared" si="65"/>
        <v>0.26259227164748994</v>
      </c>
      <c r="P98" s="153">
        <f>((Q$85-P$95)*P88+(P$95-P$85)*Q88)/(Q$85-P$85)</f>
        <v>0.25522847498307938</v>
      </c>
      <c r="Q98" s="153">
        <f>((Q$85-Q$95)*P88+(Q$95-P$85)*Q88)/(Q$85-P$85)</f>
        <v>0.24786467831866876</v>
      </c>
      <c r="R98" s="153">
        <f>((Q$85-R$95)*P88+(R$95-P$85)*Q88)/(Q$85-P$85)</f>
        <v>0.24050088165425818</v>
      </c>
      <c r="S98" s="153">
        <f>((Q$85-S$95)*P88+(S$95-P$85)*Q88)/(Q$85-P$85)</f>
        <v>0.23313708498984759</v>
      </c>
      <c r="T98" s="153">
        <f>((Q$85-T$95)*P88+(T$95-P$85)*Q88)/(Q$85-P$85)</f>
        <v>0.22577328832543703</v>
      </c>
      <c r="U98" s="153">
        <f>((Q$85-U$95)*P88+(U$95-P$85)*Q88)/(Q$85-P$85)</f>
        <v>0.21840949166102644</v>
      </c>
      <c r="V98" s="153">
        <f>((Q$85-V$95)*P88+(V$95-P$85)*Q88)/(Q$85-P$85)</f>
        <v>0.21104569499661588</v>
      </c>
      <c r="W98" s="153">
        <f>((Q$85-W$95)*P88+(W$95-P$85)*Q88)/(Q$85-P$85)</f>
        <v>0.20368189833220529</v>
      </c>
      <c r="X98" s="62"/>
      <c r="Y98" s="65"/>
      <c r="AA98" s="62"/>
      <c r="AB98" s="65"/>
      <c r="AC98" s="65"/>
      <c r="AD98" s="65"/>
      <c r="AE98" s="65"/>
    </row>
    <row r="99" spans="1:31">
      <c r="B99" s="77"/>
      <c r="C99" s="78"/>
      <c r="D99" s="78"/>
      <c r="E99" s="1"/>
      <c r="F99" s="154" t="s">
        <v>366</v>
      </c>
      <c r="G99" s="1"/>
      <c r="H99" s="1"/>
      <c r="I99" s="1"/>
      <c r="J99" s="1"/>
      <c r="K99" s="53" t="s">
        <v>372</v>
      </c>
      <c r="L99" s="1"/>
      <c r="M99" s="1"/>
      <c r="N99" s="1"/>
      <c r="O99" s="79"/>
      <c r="P99" s="62"/>
      <c r="Q99" s="53" t="s">
        <v>378</v>
      </c>
      <c r="R99" s="63"/>
      <c r="S99" s="65"/>
      <c r="T99" s="62"/>
      <c r="U99" s="65"/>
      <c r="V99" s="63"/>
      <c r="W99" s="53" t="s">
        <v>384</v>
      </c>
      <c r="X99" s="62"/>
      <c r="Y99" s="65"/>
      <c r="AA99" s="62"/>
      <c r="AB99" s="65"/>
      <c r="AC99" s="65"/>
      <c r="AD99" s="65"/>
      <c r="AE99" s="65"/>
    </row>
    <row r="100" spans="1:31">
      <c r="B100" s="77"/>
      <c r="C100" s="78"/>
      <c r="D100" s="78"/>
      <c r="E100" s="1"/>
      <c r="F100" s="155" t="s">
        <v>367</v>
      </c>
      <c r="G100" s="1"/>
      <c r="H100" s="1"/>
      <c r="I100" s="1"/>
      <c r="J100" s="1"/>
      <c r="K100" s="1"/>
      <c r="L100" s="53" t="s">
        <v>373</v>
      </c>
      <c r="M100" s="1"/>
      <c r="N100" s="1"/>
      <c r="O100" s="79"/>
      <c r="P100" s="62"/>
      <c r="Q100" s="65"/>
      <c r="R100" s="53" t="s">
        <v>379</v>
      </c>
      <c r="S100" s="65"/>
      <c r="T100" s="62"/>
      <c r="U100" s="65"/>
      <c r="V100" s="63"/>
      <c r="W100" s="65"/>
      <c r="X100" s="62"/>
      <c r="Y100" s="65"/>
      <c r="AA100" s="62"/>
      <c r="AB100" s="65"/>
      <c r="AC100" s="65"/>
      <c r="AD100" s="65"/>
      <c r="AE100" s="65"/>
    </row>
    <row r="101" spans="1:31">
      <c r="B101" s="77"/>
      <c r="C101" s="78"/>
      <c r="D101" s="78"/>
      <c r="E101" s="1"/>
      <c r="F101" s="4"/>
      <c r="G101" s="53" t="s">
        <v>368</v>
      </c>
      <c r="H101" s="1"/>
      <c r="I101" s="1"/>
      <c r="J101" s="1"/>
      <c r="K101" s="1"/>
      <c r="L101" s="1"/>
      <c r="M101" s="53" t="s">
        <v>374</v>
      </c>
      <c r="N101" s="1"/>
      <c r="O101" s="79"/>
      <c r="P101" s="62"/>
      <c r="Q101" s="65"/>
      <c r="R101" s="63"/>
      <c r="S101" s="53" t="s">
        <v>380</v>
      </c>
      <c r="T101" s="62"/>
      <c r="U101" s="65"/>
      <c r="V101" s="63"/>
      <c r="W101" s="65"/>
      <c r="X101" s="62"/>
      <c r="Y101" s="65"/>
      <c r="AA101" s="62"/>
      <c r="AB101" s="65"/>
      <c r="AC101" s="65"/>
      <c r="AD101" s="65"/>
      <c r="AE101" s="65"/>
    </row>
    <row r="102" spans="1:31">
      <c r="B102" s="77"/>
      <c r="C102" s="78"/>
      <c r="D102" s="78"/>
      <c r="E102" s="1"/>
      <c r="F102" s="1"/>
      <c r="G102" s="1"/>
      <c r="H102" s="53" t="s">
        <v>369</v>
      </c>
      <c r="I102" s="1"/>
      <c r="J102" s="1"/>
      <c r="K102" s="1"/>
      <c r="L102" s="1"/>
      <c r="M102" s="1"/>
      <c r="N102" s="53" t="s">
        <v>375</v>
      </c>
      <c r="O102" s="79"/>
      <c r="P102" s="62"/>
      <c r="Q102" s="65"/>
      <c r="R102" s="63"/>
      <c r="S102" s="65"/>
      <c r="T102" s="53" t="s">
        <v>381</v>
      </c>
      <c r="U102" s="65"/>
      <c r="V102" s="63"/>
      <c r="W102" s="65"/>
      <c r="X102" s="62"/>
      <c r="Y102" s="65"/>
      <c r="AA102" s="62"/>
      <c r="AB102" s="65"/>
      <c r="AC102" s="65"/>
      <c r="AD102" s="65"/>
      <c r="AE102" s="65"/>
    </row>
    <row r="103" spans="1:31">
      <c r="B103" s="77"/>
      <c r="C103" s="78"/>
      <c r="D103" s="78"/>
      <c r="E103" s="1"/>
      <c r="F103" s="1"/>
      <c r="G103" s="1"/>
      <c r="H103" s="53"/>
      <c r="I103" s="53" t="s">
        <v>370</v>
      </c>
      <c r="J103" s="1"/>
      <c r="K103" s="1"/>
      <c r="L103" s="1"/>
      <c r="M103" s="1"/>
      <c r="N103" s="1"/>
      <c r="O103" s="53" t="s">
        <v>376</v>
      </c>
      <c r="P103" s="62"/>
      <c r="Q103" s="65"/>
      <c r="R103" s="63"/>
      <c r="S103" s="65"/>
      <c r="T103" s="62"/>
      <c r="U103" s="53" t="s">
        <v>382</v>
      </c>
      <c r="V103" s="63"/>
      <c r="W103" s="65"/>
      <c r="X103" s="62"/>
      <c r="Y103" s="65"/>
      <c r="AA103" s="62"/>
      <c r="AB103" s="65"/>
      <c r="AC103" s="65"/>
      <c r="AD103" s="65"/>
      <c r="AE103" s="65"/>
    </row>
    <row r="104" spans="1:31">
      <c r="B104" s="77"/>
      <c r="C104" s="78"/>
      <c r="D104" s="78"/>
      <c r="E104" s="1"/>
      <c r="F104" s="1"/>
      <c r="G104" s="1"/>
      <c r="H104" s="1"/>
      <c r="I104" s="1"/>
      <c r="J104" s="53" t="s">
        <v>371</v>
      </c>
      <c r="K104" s="1"/>
      <c r="L104" s="1"/>
      <c r="M104" s="1"/>
      <c r="N104" s="1"/>
      <c r="O104" s="79"/>
      <c r="P104" s="53" t="s">
        <v>377</v>
      </c>
      <c r="Q104" s="65"/>
      <c r="R104" s="63"/>
      <c r="S104" s="65"/>
      <c r="T104" s="62"/>
      <c r="U104" s="65"/>
      <c r="V104" s="53" t="s">
        <v>383</v>
      </c>
      <c r="W104" s="65"/>
      <c r="X104" s="62"/>
      <c r="Y104" s="65"/>
      <c r="AA104" s="62"/>
      <c r="AB104" s="65"/>
      <c r="AC104" s="65"/>
      <c r="AD104" s="65"/>
      <c r="AE104" s="65"/>
    </row>
    <row r="105" spans="1:31">
      <c r="B105" s="77"/>
      <c r="C105" s="78"/>
      <c r="D105" s="7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79"/>
      <c r="P105" s="62"/>
      <c r="Q105" s="65"/>
      <c r="R105" s="63"/>
      <c r="S105" s="65"/>
      <c r="T105" s="62"/>
      <c r="U105" s="65"/>
      <c r="V105" s="63"/>
      <c r="W105" s="65"/>
      <c r="X105" s="62"/>
      <c r="Y105" s="65"/>
      <c r="AA105" s="62"/>
      <c r="AB105" s="65"/>
      <c r="AC105" s="65"/>
      <c r="AD105" s="65"/>
      <c r="AE105" s="65"/>
    </row>
    <row r="106" spans="1:31">
      <c r="A106" t="s">
        <v>703</v>
      </c>
      <c r="B106" s="15"/>
      <c r="C106" s="15"/>
      <c r="D106" s="15"/>
      <c r="E106" s="15"/>
      <c r="F106" s="15">
        <v>2.5</v>
      </c>
      <c r="G106" s="15">
        <v>7.5</v>
      </c>
      <c r="H106" s="15">
        <v>12.5</v>
      </c>
      <c r="I106" s="15">
        <v>17.5</v>
      </c>
      <c r="J106" s="15">
        <v>22.5</v>
      </c>
      <c r="K106" s="15">
        <v>27.5</v>
      </c>
      <c r="L106" s="15">
        <v>32.5</v>
      </c>
      <c r="M106" s="15">
        <v>37.5</v>
      </c>
      <c r="N106" s="15">
        <v>42.5</v>
      </c>
      <c r="O106" s="15">
        <v>47.5</v>
      </c>
      <c r="P106" s="15">
        <v>52.5</v>
      </c>
      <c r="Q106" s="15">
        <v>57.5</v>
      </c>
      <c r="R106" s="15">
        <v>62.5</v>
      </c>
      <c r="S106" s="15">
        <v>67.5</v>
      </c>
      <c r="T106" s="15">
        <v>72.5</v>
      </c>
      <c r="U106" s="15">
        <v>77.5</v>
      </c>
      <c r="V106" s="15">
        <v>82.5</v>
      </c>
      <c r="W106" s="15">
        <v>87.5</v>
      </c>
      <c r="X106" s="62"/>
      <c r="Y106" s="65"/>
      <c r="AA106" s="62"/>
      <c r="AB106" s="65"/>
      <c r="AC106" s="65"/>
      <c r="AD106" s="65"/>
      <c r="AE106" s="65"/>
    </row>
    <row r="107" spans="1:31">
      <c r="A107" s="5" t="s">
        <v>704</v>
      </c>
      <c r="B107" s="15"/>
      <c r="C107" s="15"/>
      <c r="D107" s="15"/>
      <c r="E107" s="15"/>
      <c r="F107" s="150">
        <f>1/SIN(F$106*PI()/180)</f>
        <v>22.925585626053348</v>
      </c>
      <c r="G107" s="150">
        <f t="shared" ref="G107:W107" si="66">1/SIN(G$106*PI()/180)</f>
        <v>7.6612975755403898</v>
      </c>
      <c r="H107" s="150">
        <f t="shared" si="66"/>
        <v>4.6202263153452989</v>
      </c>
      <c r="I107" s="150">
        <f t="shared" si="66"/>
        <v>3.3255095234230416</v>
      </c>
      <c r="J107" s="150">
        <f t="shared" si="66"/>
        <v>2.6131259297527532</v>
      </c>
      <c r="K107" s="150">
        <f t="shared" si="66"/>
        <v>2.1656805702002004</v>
      </c>
      <c r="L107" s="150">
        <f t="shared" si="66"/>
        <v>1.8611589967035778</v>
      </c>
      <c r="M107" s="150">
        <f t="shared" si="66"/>
        <v>1.6426796317045815</v>
      </c>
      <c r="N107" s="150">
        <f t="shared" si="66"/>
        <v>1.4801872329222612</v>
      </c>
      <c r="O107" s="150">
        <f t="shared" si="66"/>
        <v>1.3563417049092568</v>
      </c>
      <c r="P107" s="150">
        <f t="shared" si="66"/>
        <v>1.2604724140102646</v>
      </c>
      <c r="Q107" s="150">
        <f t="shared" si="66"/>
        <v>1.1856890474341606</v>
      </c>
      <c r="R107" s="150">
        <f t="shared" si="66"/>
        <v>1.1273819468663424</v>
      </c>
      <c r="S107" s="150">
        <f t="shared" si="66"/>
        <v>1.082392200292394</v>
      </c>
      <c r="T107" s="150">
        <f t="shared" si="66"/>
        <v>1.0485291251408109</v>
      </c>
      <c r="U107" s="150">
        <f t="shared" si="66"/>
        <v>1.0242795143145091</v>
      </c>
      <c r="V107" s="150">
        <f t="shared" si="66"/>
        <v>1.0086289605801528</v>
      </c>
      <c r="W107" s="150">
        <f t="shared" si="66"/>
        <v>1.0009526851633199</v>
      </c>
      <c r="X107" s="62"/>
      <c r="Y107" s="65"/>
      <c r="AA107" s="62"/>
      <c r="AB107" s="65"/>
      <c r="AC107" s="65"/>
      <c r="AD107" s="65"/>
      <c r="AE107" s="65"/>
    </row>
    <row r="108" spans="1:31">
      <c r="A108" s="14" t="s">
        <v>663</v>
      </c>
      <c r="B108" s="15"/>
      <c r="C108" s="15"/>
      <c r="D108" s="15"/>
      <c r="E108" s="15"/>
      <c r="F108" s="150">
        <f t="shared" ref="F108:W108" si="67">F96/F$107/0.01</f>
        <v>0.8908064546696377</v>
      </c>
      <c r="G108" s="150">
        <f t="shared" si="67"/>
        <v>0.97753545778088213</v>
      </c>
      <c r="H108" s="150">
        <f t="shared" si="67"/>
        <v>1.0091925934870636</v>
      </c>
      <c r="I108" s="150">
        <f t="shared" si="67"/>
        <v>1.0182469179575537</v>
      </c>
      <c r="J108" s="150">
        <f t="shared" si="67"/>
        <v>0.99745893180054457</v>
      </c>
      <c r="K108" s="150">
        <f t="shared" si="67"/>
        <v>1.0026453065024798</v>
      </c>
      <c r="L108" s="150">
        <f t="shared" si="67"/>
        <v>1.0030868046165304</v>
      </c>
      <c r="M108" s="150">
        <f t="shared" si="67"/>
        <v>1.0024373064723371</v>
      </c>
      <c r="N108" s="150">
        <f t="shared" si="67"/>
        <v>1.0059146796996763</v>
      </c>
      <c r="O108" s="150">
        <f t="shared" si="67"/>
        <v>1.0228172412582843</v>
      </c>
      <c r="P108" s="150">
        <f t="shared" si="67"/>
        <v>1.0644629537659023</v>
      </c>
      <c r="Q108" s="150">
        <f t="shared" si="67"/>
        <v>1.0931725311131684</v>
      </c>
      <c r="R108" s="150">
        <f t="shared" si="67"/>
        <v>1.1092950430081601</v>
      </c>
      <c r="S108" s="150">
        <f t="shared" si="67"/>
        <v>1.1133078315320062</v>
      </c>
      <c r="T108" s="150">
        <f t="shared" si="67"/>
        <v>1.105808311579263</v>
      </c>
      <c r="U108" s="150">
        <f t="shared" si="67"/>
        <v>1.0875046450558719</v>
      </c>
      <c r="V108" s="150">
        <f t="shared" si="67"/>
        <v>1.0592053961816241</v>
      </c>
      <c r="W108" s="150">
        <f t="shared" si="67"/>
        <v>1.0218082843382736</v>
      </c>
      <c r="X108" s="62"/>
      <c r="Y108" s="65"/>
      <c r="AA108" s="62"/>
      <c r="AB108" s="65"/>
      <c r="AC108" s="65"/>
      <c r="AD108" s="65"/>
      <c r="AE108" s="65"/>
    </row>
    <row r="109" spans="1:31">
      <c r="A109" s="14" t="s">
        <v>665</v>
      </c>
      <c r="B109" s="15"/>
      <c r="C109" s="15"/>
      <c r="D109" s="15"/>
      <c r="E109" s="15"/>
      <c r="F109" s="150">
        <f>F97/F$107/0.05</f>
        <v>0.5830647461885865</v>
      </c>
      <c r="G109" s="150">
        <f t="shared" ref="G109:W109" si="68">G97/G$107/0.05</f>
        <v>0.85402215564978845</v>
      </c>
      <c r="H109" s="150">
        <f t="shared" si="68"/>
        <v>0.92776736261813175</v>
      </c>
      <c r="I109" s="150">
        <f t="shared" si="68"/>
        <v>0.96520653973198001</v>
      </c>
      <c r="J109" s="150">
        <f t="shared" si="68"/>
        <v>0.95910594447782227</v>
      </c>
      <c r="K109" s="150">
        <f t="shared" si="68"/>
        <v>0.97599275383598671</v>
      </c>
      <c r="L109" s="150">
        <f t="shared" si="68"/>
        <v>0.98426711991876437</v>
      </c>
      <c r="M109" s="150">
        <f t="shared" si="68"/>
        <v>0.9865312104132008</v>
      </c>
      <c r="N109" s="150">
        <f t="shared" si="68"/>
        <v>0.99256823638315039</v>
      </c>
      <c r="O109" s="150">
        <f t="shared" si="68"/>
        <v>1.0112802754219952</v>
      </c>
      <c r="P109" s="150">
        <f t="shared" si="68"/>
        <v>1.0535090299891481</v>
      </c>
      <c r="Q109" s="150">
        <f t="shared" si="68"/>
        <v>1.083080366050531</v>
      </c>
      <c r="R109" s="150">
        <f t="shared" si="68"/>
        <v>1.1003138628130111</v>
      </c>
      <c r="S109" s="150">
        <f t="shared" si="68"/>
        <v>1.1056541628847045</v>
      </c>
      <c r="T109" s="150">
        <f t="shared" si="68"/>
        <v>1.09966320609114</v>
      </c>
      <c r="U109" s="150">
        <f t="shared" si="68"/>
        <v>1.08301136675543</v>
      </c>
      <c r="V109" s="150">
        <f t="shared" si="68"/>
        <v>1.05646759679545</v>
      </c>
      <c r="W109" s="150">
        <f t="shared" si="68"/>
        <v>1.020888685843065</v>
      </c>
      <c r="X109" s="62"/>
      <c r="Y109" s="65"/>
      <c r="AA109" s="62"/>
      <c r="AB109" s="65"/>
      <c r="AC109" s="65"/>
      <c r="AD109" s="65"/>
      <c r="AE109" s="65"/>
    </row>
    <row r="110" spans="1:31">
      <c r="A110" s="14" t="s">
        <v>666</v>
      </c>
      <c r="B110" s="15"/>
      <c r="C110" s="15"/>
      <c r="D110" s="15"/>
      <c r="E110" s="15"/>
      <c r="F110" s="150">
        <f>F98/F$107/0.2</f>
        <v>0.21458456199413448</v>
      </c>
      <c r="G110" s="150">
        <f t="shared" ref="G110:W110" si="69">G98/G$107/0.2</f>
        <v>0.53328323239334818</v>
      </c>
      <c r="H110" s="150">
        <f t="shared" si="69"/>
        <v>0.68886981573021278</v>
      </c>
      <c r="I110" s="150">
        <f t="shared" si="69"/>
        <v>0.7892496568162457</v>
      </c>
      <c r="J110" s="150">
        <f t="shared" si="69"/>
        <v>0.82817529400317391</v>
      </c>
      <c r="K110" s="150">
        <f t="shared" si="69"/>
        <v>0.88062349936131057</v>
      </c>
      <c r="L110" s="150">
        <f t="shared" si="69"/>
        <v>0.91369330230214241</v>
      </c>
      <c r="M110" s="150">
        <f t="shared" si="69"/>
        <v>0.92688335019144097</v>
      </c>
      <c r="N110" s="150">
        <f t="shared" si="69"/>
        <v>0.9425190739461784</v>
      </c>
      <c r="O110" s="150">
        <f t="shared" si="69"/>
        <v>0.96801665353591004</v>
      </c>
      <c r="P110" s="150">
        <f t="shared" si="69"/>
        <v>1.0124318158263197</v>
      </c>
      <c r="Q110" s="150">
        <f t="shared" si="69"/>
        <v>1.0452347470656393</v>
      </c>
      <c r="R110" s="150">
        <f t="shared" si="69"/>
        <v>1.066634437081202</v>
      </c>
      <c r="S110" s="150">
        <f t="shared" si="69"/>
        <v>1.0769529054573224</v>
      </c>
      <c r="T110" s="150">
        <f t="shared" si="69"/>
        <v>1.07661906051068</v>
      </c>
      <c r="U110" s="150">
        <f t="shared" si="69"/>
        <v>1.0661615731287726</v>
      </c>
      <c r="V110" s="150">
        <f t="shared" si="69"/>
        <v>1.0462008490972963</v>
      </c>
      <c r="W110" s="150">
        <f t="shared" si="69"/>
        <v>1.0174401914860323</v>
      </c>
      <c r="X110" s="62"/>
      <c r="Y110" s="65"/>
      <c r="AA110" s="62"/>
      <c r="AB110" s="65"/>
      <c r="AC110" s="65"/>
      <c r="AD110" s="65"/>
      <c r="AE110" s="65"/>
    </row>
    <row r="111" spans="1:31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62"/>
      <c r="Q111" s="65"/>
      <c r="R111" s="63"/>
      <c r="S111" s="65"/>
      <c r="T111" s="62"/>
      <c r="U111" s="65"/>
      <c r="V111" s="63"/>
      <c r="W111" s="65"/>
      <c r="X111" s="62"/>
      <c r="Y111" s="65"/>
      <c r="AA111" s="62"/>
      <c r="AB111" s="65"/>
      <c r="AC111" s="65"/>
      <c r="AD111" s="65"/>
      <c r="AE111" s="65"/>
    </row>
    <row r="112" spans="1:31">
      <c r="D112" s="51"/>
      <c r="E112" s="51"/>
      <c r="F112" s="51"/>
      <c r="G112" s="51"/>
      <c r="H112" s="51"/>
      <c r="I112" s="51"/>
      <c r="K112" s="51"/>
      <c r="L112" s="51"/>
      <c r="M112" s="51"/>
      <c r="O112" s="51"/>
      <c r="P112" s="51"/>
      <c r="Q112" s="51"/>
      <c r="S112" s="51"/>
      <c r="T112" s="51"/>
      <c r="U112" s="51"/>
      <c r="W112" s="51"/>
      <c r="X112" s="51"/>
      <c r="Y112" s="51"/>
      <c r="AA112" s="51"/>
      <c r="AB112" s="51"/>
      <c r="AC112" s="51"/>
      <c r="AE112" s="51"/>
    </row>
    <row r="113" spans="1:31">
      <c r="D113" s="51"/>
      <c r="E113" s="51"/>
      <c r="F113" s="51"/>
      <c r="G113" s="51"/>
      <c r="H113" s="51"/>
      <c r="I113" s="51"/>
      <c r="K113" s="51"/>
      <c r="L113" s="51"/>
      <c r="M113" s="51"/>
      <c r="O113" s="51"/>
      <c r="P113" s="51"/>
      <c r="Q113" s="51"/>
      <c r="S113" s="51"/>
      <c r="T113" s="51"/>
      <c r="U113" s="51"/>
      <c r="W113" s="51"/>
      <c r="X113" s="51"/>
      <c r="Y113" s="51"/>
      <c r="AA113" s="51"/>
      <c r="AB113" s="51"/>
      <c r="AC113" s="51"/>
      <c r="AE113" s="51"/>
    </row>
    <row r="114" spans="1:31">
      <c r="D114" s="51"/>
      <c r="E114" s="51"/>
      <c r="F114" s="51"/>
      <c r="G114" s="51"/>
      <c r="H114" s="51"/>
      <c r="I114" s="51"/>
      <c r="K114" s="51"/>
      <c r="L114" s="51"/>
      <c r="M114" s="51"/>
      <c r="O114" s="51"/>
      <c r="P114" s="51"/>
      <c r="Q114" s="51"/>
      <c r="S114" s="51"/>
      <c r="T114" s="51"/>
      <c r="U114" s="51"/>
      <c r="W114" s="51"/>
      <c r="X114" s="51"/>
      <c r="Y114" s="51"/>
      <c r="AA114" s="51"/>
      <c r="AB114" s="51"/>
      <c r="AC114" s="51"/>
      <c r="AE114" s="51"/>
    </row>
    <row r="115" spans="1:31">
      <c r="D115" s="51"/>
      <c r="E115" s="51"/>
      <c r="F115" s="51"/>
      <c r="G115" s="51"/>
      <c r="H115" s="51"/>
      <c r="I115" s="51"/>
      <c r="K115" s="51"/>
      <c r="L115" s="51"/>
      <c r="M115" s="51"/>
      <c r="O115" s="51"/>
      <c r="P115" s="51"/>
      <c r="Q115" s="51"/>
      <c r="S115" s="51"/>
      <c r="T115" s="51"/>
      <c r="U115" s="51"/>
      <c r="W115" s="51"/>
      <c r="X115" s="51"/>
      <c r="Y115" s="51"/>
      <c r="AA115" s="51"/>
      <c r="AB115" s="51"/>
      <c r="AC115" s="51"/>
      <c r="AE115" s="51"/>
    </row>
    <row r="116" spans="1:31">
      <c r="A116" s="7"/>
      <c r="D116" s="36"/>
      <c r="E116" s="36"/>
      <c r="F116" s="36"/>
      <c r="G116" s="36"/>
      <c r="H116" s="36"/>
      <c r="I116" s="36"/>
      <c r="K116" s="36"/>
      <c r="L116" s="36"/>
      <c r="M116" s="36"/>
      <c r="O116" s="36"/>
      <c r="P116" s="36"/>
      <c r="Q116" s="36"/>
      <c r="S116" s="36"/>
      <c r="T116" s="36"/>
      <c r="U116" s="36"/>
      <c r="W116" s="36"/>
      <c r="X116" s="36"/>
      <c r="Y116" s="36"/>
      <c r="AA116" s="36"/>
      <c r="AB116" s="36"/>
      <c r="AC116" s="36"/>
      <c r="AE116" s="36"/>
    </row>
    <row r="117" spans="1:31">
      <c r="D117" s="51"/>
      <c r="E117" s="51"/>
      <c r="F117" s="51"/>
      <c r="G117" s="51"/>
      <c r="H117" s="51"/>
      <c r="I117" s="51"/>
      <c r="K117" s="51"/>
      <c r="L117" s="51"/>
      <c r="M117" s="51"/>
      <c r="O117" s="51"/>
      <c r="P117" s="51"/>
      <c r="Q117" s="51"/>
      <c r="S117" s="51"/>
      <c r="T117" s="51"/>
      <c r="U117" s="51"/>
      <c r="W117" s="51"/>
      <c r="X117" s="51"/>
      <c r="Y117" s="51"/>
      <c r="AA117" s="51"/>
      <c r="AB117" s="51"/>
      <c r="AC117" s="51"/>
      <c r="AE117" s="51"/>
    </row>
    <row r="118" spans="1:31">
      <c r="D118" s="51"/>
      <c r="E118" s="51"/>
      <c r="F118" s="51"/>
      <c r="G118" s="51"/>
      <c r="H118" s="51"/>
      <c r="I118" s="51"/>
      <c r="K118" s="51"/>
      <c r="L118" s="51"/>
      <c r="M118" s="51"/>
      <c r="O118" s="51"/>
      <c r="P118" s="51"/>
      <c r="Q118" s="51"/>
      <c r="S118" s="51"/>
      <c r="T118" s="51"/>
      <c r="U118" s="51"/>
      <c r="W118" s="51"/>
      <c r="X118" s="51"/>
      <c r="Y118" s="51"/>
      <c r="AA118" s="51"/>
      <c r="AB118" s="51"/>
      <c r="AC118" s="51"/>
      <c r="AE118" s="51"/>
    </row>
    <row r="119" spans="1:31">
      <c r="D119" s="51"/>
      <c r="E119" s="51"/>
      <c r="F119" s="51"/>
      <c r="G119" s="51"/>
      <c r="H119" s="51"/>
      <c r="I119" s="51"/>
      <c r="K119" s="51"/>
      <c r="L119" s="51"/>
      <c r="M119" s="51"/>
      <c r="O119" s="51"/>
      <c r="P119" s="51"/>
      <c r="Q119" s="51"/>
      <c r="S119" s="51"/>
      <c r="T119" s="51"/>
      <c r="U119" s="51"/>
      <c r="W119" s="51"/>
      <c r="X119" s="51"/>
      <c r="Y119" s="51"/>
      <c r="AA119" s="51"/>
      <c r="AB119" s="51"/>
      <c r="AC119" s="51"/>
      <c r="AE119" s="51"/>
    </row>
    <row r="120" spans="1:31">
      <c r="D120" s="51"/>
      <c r="E120" s="51"/>
      <c r="F120" s="51"/>
      <c r="G120" s="51"/>
      <c r="H120" s="51"/>
      <c r="I120" s="51"/>
      <c r="K120" s="51"/>
      <c r="L120" s="51"/>
      <c r="M120" s="51"/>
      <c r="O120" s="51"/>
      <c r="P120" s="51"/>
      <c r="Q120" s="51"/>
      <c r="S120" s="51"/>
      <c r="T120" s="51"/>
      <c r="U120" s="51"/>
      <c r="W120" s="51"/>
      <c r="X120" s="51"/>
      <c r="Y120" s="51"/>
      <c r="AA120" s="51"/>
      <c r="AB120" s="51"/>
      <c r="AC120" s="51"/>
      <c r="AE120" s="51"/>
    </row>
    <row r="121" spans="1:31">
      <c r="D121" s="51"/>
      <c r="E121" s="51"/>
      <c r="F121" s="51"/>
      <c r="G121" s="51"/>
      <c r="H121" s="51"/>
      <c r="I121" s="51"/>
      <c r="K121" s="51"/>
      <c r="L121" s="51"/>
      <c r="M121" s="51"/>
      <c r="O121" s="51"/>
      <c r="P121" s="51"/>
      <c r="Q121" s="51"/>
      <c r="S121" s="51"/>
      <c r="T121" s="51"/>
      <c r="U121" s="51"/>
      <c r="W121" s="51"/>
      <c r="X121" s="51"/>
      <c r="Y121" s="51"/>
      <c r="AA121" s="51"/>
      <c r="AB121" s="51"/>
      <c r="AC121" s="51"/>
      <c r="AE121" s="51"/>
    </row>
    <row r="122" spans="1:31">
      <c r="D122" s="51"/>
      <c r="E122" s="51"/>
      <c r="F122" s="51"/>
      <c r="G122" s="51"/>
      <c r="H122" s="51"/>
      <c r="I122" s="51"/>
      <c r="K122" s="51"/>
      <c r="L122" s="51"/>
      <c r="M122" s="51"/>
      <c r="O122" s="51"/>
      <c r="P122" s="51"/>
      <c r="Q122" s="51"/>
      <c r="S122" s="51"/>
      <c r="T122" s="51"/>
      <c r="U122" s="51"/>
      <c r="W122" s="51"/>
      <c r="X122" s="51"/>
      <c r="Y122" s="51"/>
      <c r="AA122" s="51"/>
      <c r="AB122" s="51"/>
      <c r="AC122" s="51"/>
      <c r="AE122" s="51"/>
    </row>
    <row r="123" spans="1:31">
      <c r="A123" s="7"/>
      <c r="D123" s="36"/>
      <c r="E123" s="36"/>
      <c r="F123" s="36"/>
      <c r="G123" s="36"/>
      <c r="H123" s="36"/>
      <c r="I123" s="36"/>
      <c r="K123" s="36"/>
      <c r="L123" s="36"/>
      <c r="M123" s="36"/>
      <c r="O123" s="36"/>
      <c r="P123" s="36"/>
      <c r="Q123" s="36"/>
      <c r="S123" s="36"/>
      <c r="T123" s="36"/>
      <c r="U123" s="36"/>
      <c r="W123" s="36"/>
      <c r="X123" s="36"/>
      <c r="Y123" s="36"/>
      <c r="AA123" s="36"/>
      <c r="AB123" s="36"/>
      <c r="AC123" s="36"/>
      <c r="AE123" s="36"/>
    </row>
    <row r="124" spans="1:31">
      <c r="D124" s="51"/>
      <c r="E124" s="51"/>
      <c r="F124" s="51"/>
      <c r="G124" s="51"/>
      <c r="H124" s="51"/>
      <c r="I124" s="51"/>
      <c r="K124" s="51"/>
      <c r="L124" s="51"/>
      <c r="M124" s="51"/>
      <c r="O124" s="51"/>
      <c r="P124" s="51"/>
      <c r="Q124" s="51"/>
      <c r="S124" s="51"/>
      <c r="T124" s="51"/>
      <c r="U124" s="51"/>
      <c r="W124" s="51"/>
      <c r="X124" s="51"/>
      <c r="Y124" s="51"/>
      <c r="AA124" s="51"/>
      <c r="AB124" s="51"/>
      <c r="AC124" s="51"/>
      <c r="AE124" s="51"/>
    </row>
    <row r="125" spans="1:31">
      <c r="D125" s="51"/>
      <c r="E125" s="51"/>
      <c r="F125" s="51"/>
      <c r="G125" s="51"/>
      <c r="H125" s="51"/>
      <c r="I125" s="51"/>
      <c r="K125" s="51"/>
      <c r="L125" s="51"/>
      <c r="M125" s="51"/>
      <c r="O125" s="51"/>
      <c r="P125" s="51"/>
      <c r="Q125" s="51"/>
      <c r="S125" s="51"/>
      <c r="T125" s="51"/>
      <c r="U125" s="51"/>
      <c r="W125" s="51"/>
      <c r="X125" s="51"/>
      <c r="Y125" s="51"/>
      <c r="AA125" s="51"/>
      <c r="AB125" s="51"/>
      <c r="AC125" s="51"/>
      <c r="AE125" s="51"/>
    </row>
    <row r="126" spans="1:31">
      <c r="D126" s="51"/>
      <c r="E126" s="51"/>
      <c r="F126" s="51"/>
      <c r="G126" s="51"/>
      <c r="H126" s="51"/>
      <c r="I126" s="51"/>
      <c r="K126" s="51"/>
      <c r="L126" s="51"/>
      <c r="M126" s="51"/>
      <c r="O126" s="51"/>
      <c r="P126" s="51"/>
      <c r="Q126" s="51"/>
      <c r="S126" s="51"/>
      <c r="T126" s="51"/>
      <c r="U126" s="51"/>
      <c r="W126" s="51"/>
      <c r="X126" s="51"/>
      <c r="Y126" s="51"/>
      <c r="AA126" s="51"/>
      <c r="AB126" s="51"/>
      <c r="AC126" s="51"/>
      <c r="AE126" s="51"/>
    </row>
    <row r="127" spans="1:31">
      <c r="D127" s="51"/>
      <c r="E127" s="51"/>
      <c r="F127" s="51"/>
      <c r="G127" s="51"/>
      <c r="H127" s="51"/>
      <c r="I127" s="51"/>
      <c r="K127" s="51"/>
      <c r="L127" s="51"/>
      <c r="M127" s="51"/>
      <c r="O127" s="51"/>
      <c r="P127" s="51"/>
      <c r="Q127" s="51"/>
      <c r="S127" s="51"/>
      <c r="T127" s="51"/>
      <c r="U127" s="51"/>
      <c r="W127" s="51"/>
      <c r="X127" s="51"/>
      <c r="Y127" s="51"/>
      <c r="AA127" s="51"/>
      <c r="AB127" s="51"/>
      <c r="AC127" s="51"/>
      <c r="AE127" s="51"/>
    </row>
    <row r="128" spans="1:31">
      <c r="D128" s="51"/>
      <c r="E128" s="51"/>
      <c r="F128" s="51"/>
      <c r="G128" s="51"/>
      <c r="H128" s="51"/>
      <c r="I128" s="51"/>
      <c r="K128" s="51"/>
      <c r="L128" s="51"/>
      <c r="M128" s="51"/>
      <c r="O128" s="51"/>
      <c r="P128" s="51"/>
      <c r="Q128" s="51"/>
      <c r="S128" s="51"/>
      <c r="T128" s="51"/>
      <c r="U128" s="51"/>
      <c r="W128" s="51"/>
      <c r="X128" s="51"/>
      <c r="Y128" s="51"/>
      <c r="AA128" s="51"/>
      <c r="AB128" s="51"/>
      <c r="AC128" s="51"/>
      <c r="AE128" s="51"/>
    </row>
    <row r="129" spans="1:31">
      <c r="D129" s="51"/>
      <c r="E129" s="51"/>
      <c r="F129" s="51"/>
      <c r="G129" s="51"/>
      <c r="H129" s="51"/>
      <c r="I129" s="51"/>
      <c r="K129" s="51"/>
      <c r="L129" s="51"/>
      <c r="M129" s="51"/>
      <c r="O129" s="51"/>
      <c r="P129" s="51"/>
      <c r="Q129" s="51"/>
      <c r="S129" s="51"/>
      <c r="T129" s="51"/>
      <c r="U129" s="51"/>
      <c r="W129" s="51"/>
      <c r="X129" s="51"/>
      <c r="Y129" s="51"/>
      <c r="AA129" s="51"/>
      <c r="AB129" s="51"/>
      <c r="AC129" s="51"/>
      <c r="AE129" s="51"/>
    </row>
    <row r="130" spans="1:31">
      <c r="A130" s="7"/>
      <c r="D130" s="36"/>
      <c r="E130" s="36"/>
      <c r="F130" s="36"/>
      <c r="G130" s="36"/>
      <c r="H130" s="36"/>
      <c r="I130" s="36"/>
      <c r="K130" s="36"/>
      <c r="L130" s="36"/>
      <c r="M130" s="36"/>
      <c r="O130" s="36"/>
      <c r="P130" s="36"/>
      <c r="Q130" s="36"/>
      <c r="S130" s="36"/>
      <c r="T130" s="36"/>
      <c r="U130" s="36"/>
      <c r="W130" s="36"/>
      <c r="X130" s="36"/>
      <c r="Y130" s="36"/>
      <c r="AA130" s="36"/>
      <c r="AB130" s="36"/>
      <c r="AC130" s="36"/>
      <c r="AE130" s="36"/>
    </row>
    <row r="131" spans="1:31">
      <c r="A131" s="7"/>
      <c r="D131" s="36"/>
      <c r="E131" s="36"/>
      <c r="F131" s="36"/>
      <c r="G131" s="36"/>
      <c r="H131" s="36"/>
      <c r="I131" s="36"/>
      <c r="J131" s="51"/>
      <c r="K131" s="36"/>
      <c r="L131" s="36"/>
      <c r="M131" s="36"/>
      <c r="N131" s="7"/>
      <c r="O131" s="7"/>
      <c r="P131" s="7"/>
    </row>
    <row r="132" spans="1:31">
      <c r="J132" s="51"/>
    </row>
    <row r="133" spans="1:31">
      <c r="J133" s="51"/>
    </row>
    <row r="135" spans="1:31">
      <c r="A135" s="3"/>
    </row>
    <row r="139" spans="1:31">
      <c r="A139" s="50"/>
    </row>
    <row r="140" spans="1:31">
      <c r="A140" s="50"/>
    </row>
    <row r="141" spans="1:31">
      <c r="A141" s="7"/>
      <c r="D141" s="7"/>
      <c r="F141" s="7"/>
      <c r="G141" s="7"/>
    </row>
    <row r="142" spans="1:31">
      <c r="A142" s="50"/>
    </row>
    <row r="143" spans="1:31">
      <c r="A143" s="50"/>
    </row>
    <row r="144" spans="1:31">
      <c r="A144" s="50"/>
    </row>
    <row r="145" spans="1:7">
      <c r="A145" s="50"/>
    </row>
    <row r="146" spans="1:7">
      <c r="A146" s="7"/>
      <c r="D146" s="7"/>
      <c r="F146" s="7"/>
      <c r="G146" s="7"/>
    </row>
    <row r="147" spans="1:7">
      <c r="A147" s="50"/>
      <c r="G147" s="50"/>
    </row>
    <row r="148" spans="1:7">
      <c r="A148" s="50"/>
      <c r="G148" s="50"/>
    </row>
    <row r="149" spans="1:7">
      <c r="A149" s="50"/>
      <c r="G149" s="50"/>
    </row>
    <row r="150" spans="1:7">
      <c r="A150" s="50"/>
      <c r="G150" s="50"/>
    </row>
    <row r="151" spans="1:7">
      <c r="A151" s="7"/>
      <c r="D151" s="7"/>
      <c r="F151" s="7"/>
      <c r="G151" s="7"/>
    </row>
    <row r="156" spans="1:7">
      <c r="A156" s="7"/>
      <c r="D156" s="7"/>
      <c r="F156" s="7"/>
      <c r="G156" s="7"/>
    </row>
    <row r="163" spans="1:7">
      <c r="A163" s="7"/>
      <c r="D163" s="7"/>
      <c r="F163" s="7"/>
      <c r="G163" s="7"/>
    </row>
    <row r="170" spans="1:7">
      <c r="A170" s="7"/>
      <c r="D170" s="7"/>
      <c r="F170" s="7"/>
      <c r="G170" s="7"/>
    </row>
  </sheetData>
  <phoneticPr fontId="54" type="noConversion"/>
  <pageMargins left="0.7" right="0.7" top="0.78740157499999996" bottom="0.78740157499999996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1162"/>
  <sheetViews>
    <sheetView topLeftCell="A208" workbookViewId="0">
      <selection activeCell="H215" sqref="H215"/>
    </sheetView>
  </sheetViews>
  <sheetFormatPr defaultColWidth="11.42578125" defaultRowHeight="15"/>
  <cols>
    <col min="2" max="2" width="13.7109375" customWidth="1"/>
    <col min="3" max="3" width="24.42578125" customWidth="1"/>
  </cols>
  <sheetData>
    <row r="1" spans="1:22" ht="18.75">
      <c r="A1" s="3" t="s">
        <v>747</v>
      </c>
    </row>
    <row r="2" spans="1:22">
      <c r="A2" t="s">
        <v>933</v>
      </c>
    </row>
    <row r="3" spans="1:22" ht="18.75">
      <c r="A3" s="66" t="s">
        <v>420</v>
      </c>
    </row>
    <row r="5" spans="1:22">
      <c r="A5" s="3" t="s">
        <v>657</v>
      </c>
      <c r="C5" s="57"/>
    </row>
    <row r="6" spans="1:22">
      <c r="A6" t="s">
        <v>478</v>
      </c>
      <c r="F6" s="22">
        <f ca="1">Tabelle1!F32</f>
        <v>1367</v>
      </c>
      <c r="G6" t="s">
        <v>479</v>
      </c>
    </row>
    <row r="7" spans="1:22">
      <c r="A7" t="s">
        <v>652</v>
      </c>
      <c r="F7" s="16">
        <f ca="1">Tabelle1!F36</f>
        <v>-5</v>
      </c>
      <c r="G7" t="s">
        <v>497</v>
      </c>
      <c r="H7" t="s">
        <v>529</v>
      </c>
      <c r="J7" t="s">
        <v>482</v>
      </c>
      <c r="Q7" s="14"/>
      <c r="V7" s="2"/>
    </row>
    <row r="8" spans="1:22">
      <c r="A8" t="s">
        <v>653</v>
      </c>
      <c r="F8" s="16">
        <f ca="1">Tabelle1!F37</f>
        <v>-5</v>
      </c>
      <c r="G8" t="s">
        <v>497</v>
      </c>
      <c r="H8" t="s">
        <v>529</v>
      </c>
      <c r="Q8" s="14"/>
      <c r="V8" s="2"/>
    </row>
    <row r="9" spans="1:22">
      <c r="A9" t="s">
        <v>654</v>
      </c>
      <c r="F9" s="16">
        <f ca="1">Tabelle1!F38</f>
        <v>-55</v>
      </c>
      <c r="G9" t="s">
        <v>497</v>
      </c>
      <c r="H9" t="s">
        <v>530</v>
      </c>
      <c r="J9" t="s">
        <v>483</v>
      </c>
      <c r="M9" s="23">
        <v>5.7000000000000001E-8</v>
      </c>
      <c r="Q9" s="14"/>
      <c r="V9" s="2"/>
    </row>
    <row r="10" spans="1:22">
      <c r="A10" t="s">
        <v>656</v>
      </c>
      <c r="F10" s="16">
        <f ca="1">Tabelle1!F39</f>
        <v>0.01</v>
      </c>
      <c r="Q10" s="14"/>
      <c r="V10" s="2"/>
    </row>
    <row r="11" spans="1:22">
      <c r="A11" t="s">
        <v>799</v>
      </c>
      <c r="F11" s="16">
        <f ca="1">Tabelle1!F40</f>
        <v>0.05</v>
      </c>
      <c r="Q11" s="14"/>
      <c r="V11" s="2"/>
    </row>
    <row r="12" spans="1:22">
      <c r="A12" t="s">
        <v>820</v>
      </c>
      <c r="F12" s="22">
        <f ca="1">Tabelle1!F45</f>
        <v>0.49</v>
      </c>
      <c r="H12" s="5" t="s">
        <v>843</v>
      </c>
      <c r="Q12" s="14"/>
      <c r="V12" s="2"/>
    </row>
    <row r="13" spans="1:22">
      <c r="A13" t="s">
        <v>838</v>
      </c>
      <c r="F13" s="16">
        <f ca="1">Tabelle1!F46</f>
        <v>0.01</v>
      </c>
      <c r="H13" t="s">
        <v>819</v>
      </c>
      <c r="Q13" s="14"/>
      <c r="V13" s="2"/>
    </row>
    <row r="14" spans="1:22">
      <c r="A14" t="s">
        <v>840</v>
      </c>
      <c r="F14" s="16">
        <f ca="1">Tabelle1!F42</f>
        <v>0.02</v>
      </c>
      <c r="H14" t="s">
        <v>841</v>
      </c>
      <c r="Q14" s="14"/>
      <c r="V14" s="2"/>
    </row>
    <row r="15" spans="1:22">
      <c r="A15" t="s">
        <v>572</v>
      </c>
      <c r="F15" s="16">
        <f ca="1">Tabelle1!F43</f>
        <v>0.7</v>
      </c>
      <c r="H15" t="s">
        <v>534</v>
      </c>
      <c r="Q15" s="14"/>
      <c r="V15" s="2"/>
    </row>
    <row r="16" spans="1:22">
      <c r="A16" t="s">
        <v>734</v>
      </c>
      <c r="F16" s="16">
        <f ca="1">Tabelle1!F44</f>
        <v>0.5</v>
      </c>
      <c r="H16" t="s">
        <v>718</v>
      </c>
      <c r="Q16" s="14"/>
      <c r="V16" s="2"/>
    </row>
    <row r="17" spans="1:33">
      <c r="A17" t="s">
        <v>571</v>
      </c>
      <c r="F17" s="16">
        <f ca="1">Tabelle1!F47</f>
        <v>0.05</v>
      </c>
      <c r="H17" t="s">
        <v>531</v>
      </c>
      <c r="O17" s="2"/>
      <c r="P17" s="2"/>
      <c r="Q17" s="15"/>
      <c r="T17" s="1"/>
      <c r="V17" s="2"/>
    </row>
    <row r="18" spans="1:33">
      <c r="A18" t="s">
        <v>920</v>
      </c>
      <c r="C18" s="3"/>
      <c r="F18" s="16">
        <f ca="1">Tabelle1!F49</f>
        <v>1.99</v>
      </c>
      <c r="G18" s="6" t="s">
        <v>921</v>
      </c>
      <c r="H18" s="16">
        <f ca="1">Tabelle1!H49</f>
        <v>1.95</v>
      </c>
      <c r="I18" t="s">
        <v>922</v>
      </c>
      <c r="Q18" s="2"/>
      <c r="R18" s="2"/>
      <c r="S18" s="1"/>
      <c r="U18" s="1"/>
      <c r="W18" s="2"/>
    </row>
    <row r="19" spans="1:33">
      <c r="A19" t="s">
        <v>536</v>
      </c>
      <c r="F19" s="17" t="s">
        <v>541</v>
      </c>
      <c r="G19" s="17" t="s">
        <v>542</v>
      </c>
      <c r="H19" s="17" t="s">
        <v>543</v>
      </c>
      <c r="I19" s="17" t="s">
        <v>544</v>
      </c>
      <c r="J19" s="17" t="s">
        <v>545</v>
      </c>
      <c r="K19" s="17" t="s">
        <v>546</v>
      </c>
      <c r="L19" s="17" t="s">
        <v>547</v>
      </c>
      <c r="M19" s="17" t="s">
        <v>548</v>
      </c>
      <c r="N19" s="13" t="s">
        <v>537</v>
      </c>
      <c r="O19" s="17" t="s">
        <v>549</v>
      </c>
      <c r="P19" s="17" t="s">
        <v>550</v>
      </c>
      <c r="Q19" s="17" t="s">
        <v>551</v>
      </c>
      <c r="R19" s="17" t="s">
        <v>552</v>
      </c>
      <c r="S19" s="17" t="s">
        <v>554</v>
      </c>
      <c r="T19" s="17" t="s">
        <v>555</v>
      </c>
      <c r="U19" s="17" t="s">
        <v>553</v>
      </c>
      <c r="V19" s="17" t="s">
        <v>556</v>
      </c>
      <c r="W19" s="17" t="s">
        <v>557</v>
      </c>
    </row>
    <row r="20" spans="1:33">
      <c r="A20" t="s">
        <v>562</v>
      </c>
      <c r="F20" s="16">
        <f ca="1">Tabelle1!F53</f>
        <v>0.1</v>
      </c>
      <c r="G20" s="16">
        <f ca="1">Tabelle1!G53</f>
        <v>0.1</v>
      </c>
      <c r="H20" s="16">
        <f ca="1">Tabelle1!H53</f>
        <v>0.1</v>
      </c>
      <c r="I20" s="16">
        <f ca="1">Tabelle1!I53</f>
        <v>0.1</v>
      </c>
      <c r="J20" s="16">
        <f ca="1">Tabelle1!J53</f>
        <v>0.1</v>
      </c>
      <c r="K20" s="16">
        <f ca="1">Tabelle1!K53</f>
        <v>0.1</v>
      </c>
      <c r="L20" s="16">
        <f ca="1">Tabelle1!L53</f>
        <v>0.1</v>
      </c>
      <c r="M20" s="16">
        <f ca="1">Tabelle1!M53</f>
        <v>0.1</v>
      </c>
      <c r="N20" s="16">
        <f ca="1">Tabelle1!N53</f>
        <v>0.1</v>
      </c>
      <c r="O20" s="16">
        <f ca="1">Tabelle1!O53</f>
        <v>0.1</v>
      </c>
      <c r="P20" s="16">
        <f ca="1">Tabelle1!P53</f>
        <v>0.1</v>
      </c>
      <c r="Q20" s="16">
        <f ca="1">Tabelle1!Q53</f>
        <v>0.1</v>
      </c>
      <c r="R20" s="16">
        <f ca="1">Tabelle1!R53</f>
        <v>0.4</v>
      </c>
      <c r="S20" s="16">
        <f ca="1">Tabelle1!S53</f>
        <v>0.7</v>
      </c>
      <c r="T20" s="16">
        <f ca="1">Tabelle1!T53</f>
        <v>0.7</v>
      </c>
      <c r="U20" s="16">
        <f ca="1">Tabelle1!U53</f>
        <v>0.7</v>
      </c>
      <c r="V20" s="16">
        <f ca="1">Tabelle1!V53</f>
        <v>0.7</v>
      </c>
      <c r="W20" s="16">
        <f ca="1">Tabelle1!W53</f>
        <v>0.7</v>
      </c>
    </row>
    <row r="21" spans="1:33">
      <c r="A21" s="5" t="s">
        <v>538</v>
      </c>
      <c r="F21" s="30">
        <v>0.1</v>
      </c>
      <c r="G21" s="30">
        <v>0.1</v>
      </c>
      <c r="H21" s="30">
        <v>0.1</v>
      </c>
      <c r="I21" s="30">
        <v>0.1</v>
      </c>
      <c r="J21" s="30">
        <v>0.1</v>
      </c>
      <c r="K21" s="30">
        <v>0.1</v>
      </c>
      <c r="L21" s="30">
        <v>0.1</v>
      </c>
      <c r="M21" s="30">
        <v>0.1</v>
      </c>
      <c r="N21" s="30">
        <v>0.1</v>
      </c>
      <c r="O21" s="30">
        <v>0.1</v>
      </c>
      <c r="P21" s="30">
        <v>0.1</v>
      </c>
      <c r="Q21" s="30">
        <v>0.1</v>
      </c>
      <c r="R21" s="30">
        <v>0.4</v>
      </c>
      <c r="S21" s="15">
        <v>0.7</v>
      </c>
      <c r="T21" s="15">
        <v>0.7</v>
      </c>
      <c r="U21" s="15">
        <v>0.7</v>
      </c>
      <c r="V21" s="15">
        <v>0.7</v>
      </c>
      <c r="W21" s="15">
        <v>0.7</v>
      </c>
    </row>
    <row r="22" spans="1:33">
      <c r="A22" t="s">
        <v>540</v>
      </c>
      <c r="F22" s="16">
        <f ca="1">Tabelle1!F55</f>
        <v>20</v>
      </c>
      <c r="G22" s="16">
        <f ca="1">Tabelle1!G55</f>
        <v>20</v>
      </c>
      <c r="H22" s="16">
        <f ca="1">Tabelle1!H55</f>
        <v>20</v>
      </c>
      <c r="I22" s="16">
        <f ca="1">Tabelle1!I55</f>
        <v>20</v>
      </c>
      <c r="J22" s="16">
        <f ca="1">Tabelle1!J55</f>
        <v>20</v>
      </c>
      <c r="K22" s="16">
        <f ca="1">Tabelle1!K55</f>
        <v>20</v>
      </c>
      <c r="L22" s="16">
        <f ca="1">Tabelle1!L55</f>
        <v>15</v>
      </c>
      <c r="M22" s="16">
        <f ca="1">Tabelle1!M55</f>
        <v>15</v>
      </c>
      <c r="N22" s="16">
        <f ca="1">Tabelle1!N55</f>
        <v>15</v>
      </c>
      <c r="O22" s="16">
        <f ca="1">Tabelle1!O55</f>
        <v>10</v>
      </c>
      <c r="P22" s="16">
        <f ca="1">Tabelle1!P55</f>
        <v>10</v>
      </c>
      <c r="Q22" s="16">
        <f ca="1">Tabelle1!Q55</f>
        <v>5</v>
      </c>
      <c r="R22" s="16">
        <f ca="1">Tabelle1!R55</f>
        <v>5</v>
      </c>
      <c r="S22" s="16">
        <f ca="1">Tabelle1!S55</f>
        <v>0</v>
      </c>
      <c r="T22" s="16">
        <f ca="1">Tabelle1!T55</f>
        <v>0</v>
      </c>
      <c r="U22" s="16">
        <f ca="1">Tabelle1!U55</f>
        <v>-5</v>
      </c>
      <c r="V22" s="16">
        <f ca="1">Tabelle1!V55</f>
        <v>-5</v>
      </c>
      <c r="W22" s="16">
        <f ca="1">Tabelle1!W55</f>
        <v>-10</v>
      </c>
      <c r="X22" s="16"/>
    </row>
    <row r="23" spans="1:33">
      <c r="A23" t="s">
        <v>539</v>
      </c>
      <c r="F23">
        <v>20</v>
      </c>
      <c r="G23">
        <v>20</v>
      </c>
      <c r="H23">
        <v>20</v>
      </c>
      <c r="I23">
        <v>20</v>
      </c>
      <c r="J23">
        <v>20</v>
      </c>
      <c r="K23">
        <v>20</v>
      </c>
      <c r="L23">
        <v>15</v>
      </c>
      <c r="M23">
        <v>15</v>
      </c>
      <c r="N23">
        <v>15</v>
      </c>
      <c r="O23">
        <v>10</v>
      </c>
      <c r="P23">
        <v>10</v>
      </c>
      <c r="Q23">
        <v>5</v>
      </c>
      <c r="R23">
        <v>5</v>
      </c>
      <c r="S23">
        <v>0</v>
      </c>
      <c r="T23">
        <v>0</v>
      </c>
      <c r="U23">
        <v>-5</v>
      </c>
      <c r="V23">
        <v>-5</v>
      </c>
      <c r="W23">
        <v>-10</v>
      </c>
      <c r="X23" s="16"/>
    </row>
    <row r="24" spans="1:33">
      <c r="A24" t="s">
        <v>533</v>
      </c>
      <c r="E24" t="s">
        <v>479</v>
      </c>
      <c r="F24" s="32">
        <f t="shared" ref="F24:W24" si="0">$M$9*(F$22+273)^4</f>
        <v>420.09289565699999</v>
      </c>
      <c r="G24" s="32">
        <f t="shared" si="0"/>
        <v>420.09289565699999</v>
      </c>
      <c r="H24" s="32">
        <f t="shared" si="0"/>
        <v>420.09289565699999</v>
      </c>
      <c r="I24" s="32">
        <f t="shared" si="0"/>
        <v>420.09289565699999</v>
      </c>
      <c r="J24" s="32">
        <f t="shared" si="0"/>
        <v>420.09289565699999</v>
      </c>
      <c r="K24" s="32">
        <f t="shared" si="0"/>
        <v>420.09289565699999</v>
      </c>
      <c r="L24" s="32">
        <f t="shared" si="0"/>
        <v>392.143306752</v>
      </c>
      <c r="M24" s="32">
        <f t="shared" si="0"/>
        <v>392.143306752</v>
      </c>
      <c r="N24" s="32">
        <f t="shared" si="0"/>
        <v>392.143306752</v>
      </c>
      <c r="O24" s="32">
        <f t="shared" si="0"/>
        <v>365.61213149700001</v>
      </c>
      <c r="P24" s="32">
        <f t="shared" si="0"/>
        <v>365.61213149700001</v>
      </c>
      <c r="Q24" s="32">
        <f t="shared" si="0"/>
        <v>340.45054939200003</v>
      </c>
      <c r="R24" s="32">
        <f t="shared" si="0"/>
        <v>340.45054939200003</v>
      </c>
      <c r="S24" s="32">
        <f t="shared" si="0"/>
        <v>316.61059493700003</v>
      </c>
      <c r="T24" s="32">
        <f t="shared" si="0"/>
        <v>316.61059493700003</v>
      </c>
      <c r="U24" s="32">
        <f t="shared" si="0"/>
        <v>294.04515763199998</v>
      </c>
      <c r="V24" s="32">
        <f t="shared" si="0"/>
        <v>294.04515763199998</v>
      </c>
      <c r="W24" s="32">
        <f t="shared" si="0"/>
        <v>272.70798197700003</v>
      </c>
      <c r="X24" s="8"/>
    </row>
    <row r="25" spans="1:33">
      <c r="O25" s="2"/>
      <c r="P25" s="2"/>
      <c r="Q25" s="1"/>
      <c r="S25" s="1"/>
      <c r="U25" s="2"/>
    </row>
    <row r="26" spans="1:33">
      <c r="A26" t="s">
        <v>527</v>
      </c>
    </row>
    <row r="27" spans="1:33">
      <c r="B27" s="5" t="s">
        <v>560</v>
      </c>
      <c r="H27" s="16">
        <f ca="1">Tabelle1!H60</f>
        <v>0</v>
      </c>
      <c r="I27" s="16">
        <f ca="1">Tabelle1!I60</f>
        <v>0</v>
      </c>
      <c r="J27" s="16">
        <f ca="1">Tabelle1!J60</f>
        <v>0</v>
      </c>
      <c r="K27" s="16">
        <f ca="1">Tabelle1!K60</f>
        <v>0</v>
      </c>
      <c r="L27" s="16">
        <f ca="1">Tabelle1!L60</f>
        <v>0</v>
      </c>
      <c r="M27" s="16">
        <f ca="1">Tabelle1!M60</f>
        <v>0</v>
      </c>
      <c r="N27" s="16">
        <f ca="1">Tabelle1!N60</f>
        <v>0</v>
      </c>
      <c r="O27" s="16">
        <f ca="1">Tabelle1!O60</f>
        <v>0</v>
      </c>
      <c r="P27" s="16">
        <f ca="1">Tabelle1!P60</f>
        <v>1</v>
      </c>
      <c r="Q27" s="16">
        <f ca="1">Tabelle1!Q60</f>
        <v>1</v>
      </c>
      <c r="R27" s="16">
        <f ca="1">Tabelle1!R60</f>
        <v>1</v>
      </c>
      <c r="S27" s="16">
        <f ca="1">Tabelle1!S60</f>
        <v>1</v>
      </c>
      <c r="T27" s="16">
        <f ca="1">Tabelle1!T60</f>
        <v>1</v>
      </c>
      <c r="U27" s="16">
        <f ca="1">Tabelle1!U60</f>
        <v>1</v>
      </c>
      <c r="V27" s="16">
        <f ca="1">Tabelle1!V60</f>
        <v>1</v>
      </c>
      <c r="W27" s="16">
        <f ca="1">Tabelle1!W60</f>
        <v>1</v>
      </c>
      <c r="X27" s="16">
        <f ca="1">Tabelle1!X60</f>
        <v>1</v>
      </c>
      <c r="Y27" s="16">
        <f ca="1">Tabelle1!Y60</f>
        <v>1</v>
      </c>
      <c r="Z27" s="16">
        <f ca="1">Tabelle1!Z60</f>
        <v>1</v>
      </c>
      <c r="AA27" s="16">
        <f ca="1">Tabelle1!AA60</f>
        <v>1</v>
      </c>
      <c r="AB27" s="16">
        <f ca="1">Tabelle1!AB60</f>
        <v>0</v>
      </c>
      <c r="AC27" s="16">
        <f ca="1">Tabelle1!AC60</f>
        <v>0</v>
      </c>
      <c r="AD27" s="16">
        <f ca="1">Tabelle1!AD60</f>
        <v>0</v>
      </c>
      <c r="AE27" s="16">
        <f ca="1">Tabelle1!AE60</f>
        <v>0</v>
      </c>
    </row>
    <row r="28" spans="1:33">
      <c r="B28" s="5" t="s">
        <v>564</v>
      </c>
      <c r="H28" s="16">
        <f ca="1">Tabelle1!H62</f>
        <v>1</v>
      </c>
      <c r="I28" s="16">
        <f ca="1">Tabelle1!I62</f>
        <v>1</v>
      </c>
      <c r="J28" s="16">
        <f ca="1">Tabelle1!J62</f>
        <v>1</v>
      </c>
      <c r="K28" s="16">
        <f ca="1">Tabelle1!K62</f>
        <v>1</v>
      </c>
      <c r="L28" s="16">
        <f ca="1">Tabelle1!L62</f>
        <v>1</v>
      </c>
      <c r="M28" s="16">
        <f ca="1">Tabelle1!M62</f>
        <v>1</v>
      </c>
      <c r="N28" s="16">
        <f ca="1">Tabelle1!N62</f>
        <v>1</v>
      </c>
      <c r="O28" s="16">
        <f ca="1">Tabelle1!O62</f>
        <v>1</v>
      </c>
      <c r="P28" s="16">
        <f ca="1">Tabelle1!P62</f>
        <v>5.0000000000000044E-2</v>
      </c>
      <c r="Q28" s="16">
        <f ca="1">Tabelle1!Q62</f>
        <v>5.0000000000000044E-2</v>
      </c>
      <c r="R28" s="16">
        <f ca="1">Tabelle1!R62</f>
        <v>5.0000000000000044E-2</v>
      </c>
      <c r="S28" s="16">
        <f ca="1">Tabelle1!S62</f>
        <v>5.0000000000000044E-2</v>
      </c>
      <c r="T28" s="16">
        <f ca="1">Tabelle1!T62</f>
        <v>5.0000000000000044E-2</v>
      </c>
      <c r="U28" s="16">
        <f ca="1">Tabelle1!U62</f>
        <v>5.0000000000000044E-2</v>
      </c>
      <c r="V28" s="16">
        <f ca="1">Tabelle1!V62</f>
        <v>5.0000000000000044E-2</v>
      </c>
      <c r="W28" s="16">
        <f ca="1">Tabelle1!W62</f>
        <v>5.0000000000000044E-2</v>
      </c>
      <c r="X28" s="16">
        <f ca="1">Tabelle1!X62</f>
        <v>5.0000000000000044E-2</v>
      </c>
      <c r="Y28" s="16">
        <f ca="1">Tabelle1!Y62</f>
        <v>5.0000000000000044E-2</v>
      </c>
      <c r="Z28" s="16">
        <f ca="1">Tabelle1!Z62</f>
        <v>5.0000000000000044E-2</v>
      </c>
      <c r="AA28" s="16">
        <f ca="1">Tabelle1!AA62</f>
        <v>5.0000000000000044E-2</v>
      </c>
      <c r="AB28" s="16">
        <f ca="1">Tabelle1!AB62</f>
        <v>1</v>
      </c>
      <c r="AC28" s="16">
        <f ca="1">Tabelle1!AC62</f>
        <v>1</v>
      </c>
      <c r="AD28" s="16">
        <f ca="1">Tabelle1!AD62</f>
        <v>1</v>
      </c>
      <c r="AE28" s="16">
        <f ca="1">Tabelle1!AE62</f>
        <v>1</v>
      </c>
    </row>
    <row r="29" spans="1:33">
      <c r="B29" s="5" t="s">
        <v>532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  <c r="Q29" s="5">
        <v>1</v>
      </c>
      <c r="R29" s="5">
        <v>1</v>
      </c>
      <c r="S29" s="5">
        <v>1</v>
      </c>
      <c r="T29" s="5">
        <v>1</v>
      </c>
      <c r="U29" s="5">
        <v>1</v>
      </c>
      <c r="V29" s="5">
        <v>1</v>
      </c>
      <c r="W29" s="5">
        <v>1</v>
      </c>
      <c r="X29" s="5">
        <v>1</v>
      </c>
      <c r="Y29" s="5">
        <v>1</v>
      </c>
      <c r="Z29" s="5">
        <v>1</v>
      </c>
      <c r="AA29" s="5">
        <v>1</v>
      </c>
      <c r="AB29" s="5">
        <v>0</v>
      </c>
      <c r="AC29" s="5">
        <v>0</v>
      </c>
      <c r="AD29" s="5">
        <v>0</v>
      </c>
      <c r="AE29" s="5">
        <v>0</v>
      </c>
    </row>
    <row r="30" spans="1:33">
      <c r="B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2" spans="1:33">
      <c r="A32" t="s">
        <v>480</v>
      </c>
      <c r="H32" s="4" t="s">
        <v>484</v>
      </c>
      <c r="I32" s="4" t="s">
        <v>486</v>
      </c>
      <c r="J32" s="4" t="s">
        <v>485</v>
      </c>
      <c r="K32" s="4" t="s">
        <v>487</v>
      </c>
      <c r="L32" s="4" t="s">
        <v>488</v>
      </c>
      <c r="M32" s="4" t="s">
        <v>489</v>
      </c>
      <c r="N32" s="4" t="s">
        <v>490</v>
      </c>
      <c r="O32" s="4" t="s">
        <v>491</v>
      </c>
      <c r="P32" s="4" t="s">
        <v>494</v>
      </c>
      <c r="Q32" s="4" t="s">
        <v>492</v>
      </c>
      <c r="R32" s="4" t="s">
        <v>495</v>
      </c>
      <c r="S32" s="4" t="s">
        <v>493</v>
      </c>
      <c r="T32" s="4" t="s">
        <v>515</v>
      </c>
      <c r="U32" s="4" t="s">
        <v>517</v>
      </c>
      <c r="V32" s="4" t="s">
        <v>518</v>
      </c>
      <c r="W32" s="4" t="s">
        <v>516</v>
      </c>
      <c r="X32" s="4" t="s">
        <v>519</v>
      </c>
      <c r="Y32" s="4" t="s">
        <v>520</v>
      </c>
      <c r="Z32" s="4" t="s">
        <v>521</v>
      </c>
      <c r="AA32" s="4" t="s">
        <v>522</v>
      </c>
      <c r="AB32" s="4" t="s">
        <v>523</v>
      </c>
      <c r="AC32" s="4" t="s">
        <v>524</v>
      </c>
      <c r="AD32" s="4" t="s">
        <v>525</v>
      </c>
      <c r="AE32" s="4" t="s">
        <v>526</v>
      </c>
      <c r="AF32" s="1"/>
      <c r="AG32" s="1"/>
    </row>
    <row r="33" spans="1:33">
      <c r="A33" t="s">
        <v>613</v>
      </c>
      <c r="Q33" s="4"/>
      <c r="R33" s="4"/>
      <c r="S33" s="4"/>
      <c r="T33" s="1"/>
      <c r="U33" s="4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>
      <c r="A34" t="s">
        <v>528</v>
      </c>
      <c r="H34" s="1">
        <v>3.87</v>
      </c>
      <c r="I34" s="1">
        <v>11.37</v>
      </c>
      <c r="J34" s="1">
        <v>18.87</v>
      </c>
      <c r="K34" s="1">
        <v>26.37</v>
      </c>
      <c r="L34" s="1">
        <v>33.869999999999997</v>
      </c>
      <c r="M34" s="1">
        <v>41.37</v>
      </c>
      <c r="N34" s="1">
        <v>48.88</v>
      </c>
      <c r="O34" s="1">
        <v>56.38</v>
      </c>
      <c r="P34" s="1">
        <v>63.88</v>
      </c>
      <c r="Q34" s="1">
        <v>71.38</v>
      </c>
      <c r="R34" s="4">
        <v>78.88</v>
      </c>
      <c r="S34" s="1">
        <v>86.39</v>
      </c>
      <c r="T34" s="1">
        <v>86.39</v>
      </c>
      <c r="U34" s="4">
        <v>78.88</v>
      </c>
      <c r="V34" s="1">
        <v>71.38</v>
      </c>
      <c r="W34" s="1">
        <v>63.88</v>
      </c>
      <c r="X34" s="1">
        <v>56.38</v>
      </c>
      <c r="Y34" s="1">
        <v>48.88</v>
      </c>
      <c r="Z34" s="1">
        <v>41.37</v>
      </c>
      <c r="AA34" s="1">
        <v>33.869999999999997</v>
      </c>
      <c r="AB34" s="1">
        <v>26.37</v>
      </c>
      <c r="AC34" s="1">
        <v>18.87</v>
      </c>
      <c r="AD34" s="1">
        <v>11.37</v>
      </c>
      <c r="AE34" s="1">
        <v>3.87</v>
      </c>
      <c r="AF34" s="1"/>
      <c r="AG34" s="1"/>
    </row>
    <row r="35" spans="1:33">
      <c r="A35" t="s">
        <v>506</v>
      </c>
      <c r="H35" s="1">
        <v>3.84</v>
      </c>
      <c r="I35" s="1">
        <v>11.32</v>
      </c>
      <c r="J35" s="1">
        <v>18.79</v>
      </c>
      <c r="K35" s="1">
        <v>26.26</v>
      </c>
      <c r="L35" s="1">
        <v>33.72</v>
      </c>
      <c r="M35" s="1">
        <v>41.18</v>
      </c>
      <c r="N35" s="1">
        <v>48.62</v>
      </c>
      <c r="O35" s="1">
        <v>56.05</v>
      </c>
      <c r="P35" s="1">
        <v>63.44</v>
      </c>
      <c r="Q35" s="1">
        <v>70.75</v>
      </c>
      <c r="R35" s="4">
        <v>77.83</v>
      </c>
      <c r="S35" s="1">
        <v>83.85</v>
      </c>
      <c r="T35" s="1">
        <v>83.85</v>
      </c>
      <c r="U35" s="4">
        <v>77.83</v>
      </c>
      <c r="V35" s="1">
        <v>70.75</v>
      </c>
      <c r="W35" s="1">
        <v>63.44</v>
      </c>
      <c r="X35" s="1">
        <v>56.05</v>
      </c>
      <c r="Y35" s="1">
        <v>48.62</v>
      </c>
      <c r="Z35" s="1">
        <v>41.18</v>
      </c>
      <c r="AA35" s="1">
        <v>33.72</v>
      </c>
      <c r="AB35" s="1">
        <v>26.26</v>
      </c>
      <c r="AC35" s="1">
        <v>18.79</v>
      </c>
      <c r="AD35" s="1">
        <v>11.32</v>
      </c>
      <c r="AE35" s="1">
        <v>3.84</v>
      </c>
      <c r="AF35" s="1"/>
      <c r="AG35" s="1"/>
    </row>
    <row r="36" spans="1:33">
      <c r="A36" t="s">
        <v>505</v>
      </c>
      <c r="H36" s="1">
        <v>3.79</v>
      </c>
      <c r="I36" s="1">
        <v>11.18</v>
      </c>
      <c r="J36" s="1">
        <v>18.559999999999999</v>
      </c>
      <c r="K36" s="1">
        <v>25.93</v>
      </c>
      <c r="L36" s="1">
        <v>33.28</v>
      </c>
      <c r="M36" s="1">
        <v>40.61</v>
      </c>
      <c r="N36" s="1">
        <v>47.88</v>
      </c>
      <c r="O36" s="1">
        <v>55.09</v>
      </c>
      <c r="P36" s="1">
        <v>62.16</v>
      </c>
      <c r="Q36" s="1">
        <v>68.95</v>
      </c>
      <c r="R36" s="4">
        <v>75.099999999999994</v>
      </c>
      <c r="S36" s="1">
        <v>79.39</v>
      </c>
      <c r="T36" s="1">
        <v>79.39</v>
      </c>
      <c r="U36" s="4">
        <v>75.099999999999994</v>
      </c>
      <c r="V36" s="1">
        <v>68.95</v>
      </c>
      <c r="W36" s="1">
        <v>62.16</v>
      </c>
      <c r="X36" s="1">
        <v>55.09</v>
      </c>
      <c r="Y36" s="1">
        <v>47.88</v>
      </c>
      <c r="Z36" s="1">
        <v>40.61</v>
      </c>
      <c r="AA36" s="1">
        <v>33.28</v>
      </c>
      <c r="AB36" s="1">
        <v>25.93</v>
      </c>
      <c r="AC36" s="1">
        <v>18.559999999999999</v>
      </c>
      <c r="AD36" s="1">
        <v>11.18</v>
      </c>
      <c r="AE36" s="1">
        <v>3.79</v>
      </c>
      <c r="AF36" s="1"/>
      <c r="AG36" s="1"/>
    </row>
    <row r="37" spans="1:33">
      <c r="A37" t="s">
        <v>504</v>
      </c>
      <c r="H37" s="1">
        <v>3.72</v>
      </c>
      <c r="I37" s="1">
        <v>10.96</v>
      </c>
      <c r="J37" s="1">
        <v>18.190000000000001</v>
      </c>
      <c r="K37" s="1">
        <v>25.39</v>
      </c>
      <c r="L37" s="1">
        <v>32.56</v>
      </c>
      <c r="M37" s="1">
        <v>39.67</v>
      </c>
      <c r="N37" s="1">
        <v>46.68</v>
      </c>
      <c r="O37" s="1">
        <v>53.54</v>
      </c>
      <c r="P37" s="1">
        <v>60.14</v>
      </c>
      <c r="Q37" s="1">
        <v>66.260000000000005</v>
      </c>
      <c r="R37" s="4">
        <v>71.42</v>
      </c>
      <c r="S37" s="1">
        <v>74.599999999999994</v>
      </c>
      <c r="T37" s="1">
        <v>74.599999999999994</v>
      </c>
      <c r="U37" s="4">
        <v>71.42</v>
      </c>
      <c r="V37" s="1">
        <v>66.260000000000005</v>
      </c>
      <c r="W37" s="1">
        <v>60.14</v>
      </c>
      <c r="X37" s="1">
        <v>53.54</v>
      </c>
      <c r="Y37" s="1">
        <v>46.68</v>
      </c>
      <c r="Z37" s="1">
        <v>39.67</v>
      </c>
      <c r="AA37" s="1">
        <v>32.56</v>
      </c>
      <c r="AB37" s="1">
        <v>25.39</v>
      </c>
      <c r="AC37" s="1">
        <v>18.190000000000001</v>
      </c>
      <c r="AD37" s="1">
        <v>10.96</v>
      </c>
      <c r="AE37" s="1">
        <v>3.72</v>
      </c>
      <c r="AF37" s="1"/>
      <c r="AG37" s="1"/>
    </row>
    <row r="38" spans="1:33">
      <c r="A38" t="s">
        <v>503</v>
      </c>
      <c r="H38">
        <v>3.61</v>
      </c>
      <c r="I38">
        <v>10.65</v>
      </c>
      <c r="J38">
        <v>17.670000000000002</v>
      </c>
      <c r="K38">
        <v>24.65</v>
      </c>
      <c r="L38">
        <v>31.57</v>
      </c>
      <c r="M38">
        <v>38.39</v>
      </c>
      <c r="N38">
        <v>45.05</v>
      </c>
      <c r="O38">
        <v>51.48</v>
      </c>
      <c r="P38">
        <v>57.53</v>
      </c>
      <c r="Q38">
        <v>62.94</v>
      </c>
      <c r="R38">
        <v>67.239999999999995</v>
      </c>
      <c r="S38">
        <v>69.709999999999994</v>
      </c>
      <c r="T38">
        <v>69.709999999999994</v>
      </c>
      <c r="U38">
        <v>67.239999999999995</v>
      </c>
      <c r="V38">
        <v>62.94</v>
      </c>
      <c r="W38">
        <v>57.53</v>
      </c>
      <c r="X38">
        <v>51.48</v>
      </c>
      <c r="Y38">
        <v>45.05</v>
      </c>
      <c r="Z38">
        <v>38.39</v>
      </c>
      <c r="AA38">
        <v>31.57</v>
      </c>
      <c r="AB38">
        <v>24.65</v>
      </c>
      <c r="AC38">
        <v>17.670000000000002</v>
      </c>
      <c r="AD38">
        <v>10.65</v>
      </c>
      <c r="AE38">
        <v>3.61</v>
      </c>
    </row>
    <row r="39" spans="1:33">
      <c r="A39" t="s">
        <v>502</v>
      </c>
      <c r="H39">
        <v>3.47</v>
      </c>
      <c r="I39">
        <v>10.26</v>
      </c>
      <c r="J39">
        <v>17.02</v>
      </c>
      <c r="K39">
        <v>23.72</v>
      </c>
      <c r="L39">
        <v>30.32</v>
      </c>
      <c r="M39">
        <v>36.79</v>
      </c>
      <c r="N39">
        <v>43.04</v>
      </c>
      <c r="O39">
        <v>48.99</v>
      </c>
      <c r="P39">
        <v>54.46</v>
      </c>
      <c r="Q39">
        <v>59.19</v>
      </c>
      <c r="R39">
        <v>62.8</v>
      </c>
      <c r="S39">
        <v>64.78</v>
      </c>
      <c r="T39">
        <v>64.78</v>
      </c>
      <c r="U39">
        <v>62.8</v>
      </c>
      <c r="V39">
        <v>59.19</v>
      </c>
      <c r="W39">
        <v>54.46</v>
      </c>
      <c r="X39">
        <v>48.99</v>
      </c>
      <c r="Y39">
        <v>43.04</v>
      </c>
      <c r="Z39">
        <v>36.79</v>
      </c>
      <c r="AA39">
        <v>30.32</v>
      </c>
      <c r="AB39">
        <v>23.72</v>
      </c>
      <c r="AC39">
        <v>17.02</v>
      </c>
      <c r="AD39">
        <v>10.26</v>
      </c>
      <c r="AE39">
        <v>3.47</v>
      </c>
    </row>
    <row r="40" spans="1:33">
      <c r="A40" t="s">
        <v>498</v>
      </c>
      <c r="H40" s="2">
        <v>3.31</v>
      </c>
      <c r="I40" s="2">
        <v>9.8000000000000007</v>
      </c>
      <c r="J40" s="2">
        <v>16.239999999999998</v>
      </c>
      <c r="K40" s="2">
        <v>22.6</v>
      </c>
      <c r="L40" s="2">
        <v>28.84</v>
      </c>
      <c r="M40" s="2">
        <v>34.9</v>
      </c>
      <c r="N40" s="2">
        <v>40.71</v>
      </c>
      <c r="O40" s="2">
        <v>46.14</v>
      </c>
      <c r="P40" s="2">
        <v>51.04</v>
      </c>
      <c r="Q40" s="2">
        <v>55.16</v>
      </c>
      <c r="R40" s="2">
        <v>58.2</v>
      </c>
      <c r="S40" s="2">
        <v>59.82</v>
      </c>
      <c r="T40" s="2">
        <v>59.82</v>
      </c>
      <c r="U40" s="2">
        <v>58.2</v>
      </c>
      <c r="V40" s="2">
        <v>55.16</v>
      </c>
      <c r="W40" s="2">
        <v>51.04</v>
      </c>
      <c r="X40" s="2">
        <v>46.14</v>
      </c>
      <c r="Y40" s="2">
        <v>40.71</v>
      </c>
      <c r="Z40" s="2">
        <v>34.9</v>
      </c>
      <c r="AA40" s="2">
        <v>28.84</v>
      </c>
      <c r="AB40" s="2">
        <v>22.6</v>
      </c>
      <c r="AC40" s="2">
        <v>16.239999999999998</v>
      </c>
      <c r="AD40" s="2">
        <v>9.8000000000000007</v>
      </c>
      <c r="AE40" s="2">
        <v>3.31</v>
      </c>
      <c r="AF40" s="2"/>
    </row>
    <row r="41" spans="1:33">
      <c r="A41" t="s">
        <v>499</v>
      </c>
      <c r="H41" s="2">
        <v>3.13</v>
      </c>
      <c r="I41" s="2">
        <v>9.26</v>
      </c>
      <c r="J41" s="2">
        <v>15.33</v>
      </c>
      <c r="K41" s="2">
        <v>21.31</v>
      </c>
      <c r="L41" s="2">
        <v>27.14</v>
      </c>
      <c r="M41" s="2">
        <v>32.76</v>
      </c>
      <c r="N41" s="2">
        <v>38.090000000000003</v>
      </c>
      <c r="O41" s="2">
        <v>43</v>
      </c>
      <c r="P41" s="2">
        <v>47.35</v>
      </c>
      <c r="Q41" s="2">
        <v>50.93</v>
      </c>
      <c r="R41" s="2">
        <v>53.31</v>
      </c>
      <c r="S41" s="2">
        <v>54.86</v>
      </c>
      <c r="T41" s="2">
        <v>54.86</v>
      </c>
      <c r="U41" s="2">
        <v>53.31</v>
      </c>
      <c r="V41" s="2">
        <v>50.93</v>
      </c>
      <c r="W41" s="2">
        <v>47.35</v>
      </c>
      <c r="X41" s="2">
        <v>43</v>
      </c>
      <c r="Y41" s="2">
        <v>38.090000000000003</v>
      </c>
      <c r="Z41" s="2">
        <v>32.76</v>
      </c>
      <c r="AA41" s="2">
        <v>27.14</v>
      </c>
      <c r="AB41" s="2">
        <v>21.31</v>
      </c>
      <c r="AC41" s="2">
        <v>15.33</v>
      </c>
      <c r="AD41" s="2">
        <v>9.26</v>
      </c>
      <c r="AE41" s="2">
        <v>3.13</v>
      </c>
      <c r="AF41" s="2"/>
    </row>
    <row r="42" spans="1:33">
      <c r="A42" t="s">
        <v>500</v>
      </c>
      <c r="H42" s="2">
        <v>2.92</v>
      </c>
      <c r="I42" s="2">
        <v>8.64</v>
      </c>
      <c r="J42" s="2">
        <v>14.31</v>
      </c>
      <c r="K42" s="2">
        <v>19.86</v>
      </c>
      <c r="L42" s="2">
        <v>25.25</v>
      </c>
      <c r="M42" s="2">
        <v>30.04</v>
      </c>
      <c r="N42" s="2">
        <v>35.229999999999997</v>
      </c>
      <c r="O42" s="2">
        <v>39.630000000000003</v>
      </c>
      <c r="P42" s="2">
        <v>43.45</v>
      </c>
      <c r="Q42" s="2">
        <v>46.55</v>
      </c>
      <c r="R42" s="2">
        <v>48.75</v>
      </c>
      <c r="S42" s="2">
        <v>49.89</v>
      </c>
      <c r="T42" s="2">
        <v>49.89</v>
      </c>
      <c r="U42" s="2">
        <v>48.75</v>
      </c>
      <c r="V42" s="2">
        <v>46.55</v>
      </c>
      <c r="W42" s="2">
        <v>43.45</v>
      </c>
      <c r="X42" s="2">
        <v>39.630000000000003</v>
      </c>
      <c r="Y42" s="2">
        <v>35.229999999999997</v>
      </c>
      <c r="Z42" s="2">
        <v>30.04</v>
      </c>
      <c r="AA42" s="2">
        <v>25.25</v>
      </c>
      <c r="AB42" s="2">
        <v>19.86</v>
      </c>
      <c r="AC42" s="2">
        <v>14.31</v>
      </c>
      <c r="AD42" s="2">
        <v>8.64</v>
      </c>
      <c r="AE42" s="2">
        <v>2.92</v>
      </c>
      <c r="AF42" s="2"/>
    </row>
    <row r="43" spans="1:33">
      <c r="A43" t="s">
        <v>501</v>
      </c>
      <c r="H43" s="2">
        <v>2.68</v>
      </c>
      <c r="I43" s="2">
        <v>7.97</v>
      </c>
      <c r="J43" s="2">
        <v>13.18</v>
      </c>
      <c r="K43" s="2">
        <v>18.27</v>
      </c>
      <c r="L43" s="2">
        <v>23.18</v>
      </c>
      <c r="M43" s="2">
        <v>27.84</v>
      </c>
      <c r="N43" s="2">
        <v>32.17</v>
      </c>
      <c r="O43" s="2">
        <v>36.06</v>
      </c>
      <c r="P43" s="2">
        <v>39.409999999999997</v>
      </c>
      <c r="Q43" s="2">
        <v>42.68</v>
      </c>
      <c r="R43" s="2">
        <v>43.95</v>
      </c>
      <c r="S43" s="2">
        <v>44.91</v>
      </c>
      <c r="T43" s="2">
        <v>44.91</v>
      </c>
      <c r="U43" s="2">
        <v>43.95</v>
      </c>
      <c r="V43" s="2">
        <v>42.68</v>
      </c>
      <c r="W43" s="2">
        <v>39.409999999999997</v>
      </c>
      <c r="X43" s="2">
        <v>36.06</v>
      </c>
      <c r="Y43" s="2">
        <v>32.17</v>
      </c>
      <c r="Z43" s="2">
        <v>27.84</v>
      </c>
      <c r="AA43" s="2">
        <v>23.18</v>
      </c>
      <c r="AB43" s="2">
        <v>18.27</v>
      </c>
      <c r="AC43" s="2">
        <v>13.18</v>
      </c>
      <c r="AD43" s="2">
        <v>7.97</v>
      </c>
      <c r="AE43" s="2">
        <v>2.68</v>
      </c>
      <c r="AF43" s="2"/>
    </row>
    <row r="44" spans="1:33">
      <c r="A44" t="s">
        <v>507</v>
      </c>
      <c r="H44" s="2">
        <v>2.4300000000000002</v>
      </c>
      <c r="I44" s="2">
        <v>7.23</v>
      </c>
      <c r="J44" s="2">
        <v>11.96</v>
      </c>
      <c r="K44" s="2">
        <v>16.55</v>
      </c>
      <c r="L44" s="2">
        <v>20.96</v>
      </c>
      <c r="M44" s="2">
        <v>25.12</v>
      </c>
      <c r="N44" s="2">
        <v>28.94</v>
      </c>
      <c r="O44" s="2">
        <v>32.35</v>
      </c>
      <c r="P44" s="2">
        <v>35.25</v>
      </c>
      <c r="Q44" s="2">
        <v>37.53</v>
      </c>
      <c r="R44" s="2">
        <v>39.119999999999997</v>
      </c>
      <c r="S44" s="2">
        <v>39.93</v>
      </c>
      <c r="T44" s="2">
        <v>39.93</v>
      </c>
      <c r="U44" s="2">
        <v>39.119999999999997</v>
      </c>
      <c r="V44" s="2">
        <v>37.53</v>
      </c>
      <c r="W44" s="2">
        <v>35.25</v>
      </c>
      <c r="X44" s="2">
        <v>32.35</v>
      </c>
      <c r="Y44" s="2">
        <v>28.94</v>
      </c>
      <c r="Z44" s="2">
        <v>25.12</v>
      </c>
      <c r="AA44" s="2">
        <v>20.96</v>
      </c>
      <c r="AB44" s="2">
        <v>16.55</v>
      </c>
      <c r="AC44" s="2">
        <v>11.96</v>
      </c>
      <c r="AD44" s="2">
        <v>7.23</v>
      </c>
      <c r="AE44" s="2">
        <v>2.4300000000000002</v>
      </c>
      <c r="AF44" s="2"/>
    </row>
    <row r="45" spans="1:33">
      <c r="A45" t="s">
        <v>508</v>
      </c>
      <c r="H45" s="2">
        <v>2.16</v>
      </c>
      <c r="I45" s="2">
        <v>6.44</v>
      </c>
      <c r="J45" s="2">
        <v>10.65</v>
      </c>
      <c r="K45" s="2">
        <v>14.72</v>
      </c>
      <c r="L45" s="2">
        <v>18.61</v>
      </c>
      <c r="M45" s="2">
        <v>22.25</v>
      </c>
      <c r="N45" s="2">
        <v>25.58</v>
      </c>
      <c r="O45" s="2">
        <v>28.52</v>
      </c>
      <c r="P45" s="2">
        <v>30.99</v>
      </c>
      <c r="Q45" s="2">
        <v>32.93</v>
      </c>
      <c r="R45" s="2">
        <v>34.26</v>
      </c>
      <c r="S45" s="2">
        <v>34.94</v>
      </c>
      <c r="T45" s="2">
        <v>34.94</v>
      </c>
      <c r="U45" s="2">
        <v>34.26</v>
      </c>
      <c r="V45" s="2">
        <v>32.93</v>
      </c>
      <c r="W45" s="2">
        <v>30.99</v>
      </c>
      <c r="X45" s="2">
        <v>28.52</v>
      </c>
      <c r="Y45" s="2">
        <v>25.58</v>
      </c>
      <c r="Z45" s="2">
        <v>22.25</v>
      </c>
      <c r="AA45" s="2">
        <v>18.61</v>
      </c>
      <c r="AB45" s="2">
        <v>14.72</v>
      </c>
      <c r="AC45" s="2">
        <v>10.65</v>
      </c>
      <c r="AD45" s="2">
        <v>6.44</v>
      </c>
      <c r="AE45" s="2">
        <v>2.16</v>
      </c>
      <c r="AF45" s="2"/>
    </row>
    <row r="46" spans="1:33">
      <c r="A46" t="s">
        <v>509</v>
      </c>
      <c r="H46" s="2">
        <v>1.87</v>
      </c>
      <c r="I46" s="2">
        <v>5.6</v>
      </c>
      <c r="J46" s="2">
        <v>9.26</v>
      </c>
      <c r="K46" s="2">
        <v>12.79</v>
      </c>
      <c r="L46" s="2">
        <v>16.149999999999999</v>
      </c>
      <c r="M46" s="2">
        <v>19.27</v>
      </c>
      <c r="N46" s="2">
        <v>22.11</v>
      </c>
      <c r="O46" s="2">
        <v>24.59</v>
      </c>
      <c r="P46" s="2">
        <v>26.67</v>
      </c>
      <c r="Q46" s="2">
        <v>28.29</v>
      </c>
      <c r="R46" s="2">
        <v>29.39</v>
      </c>
      <c r="S46" s="2">
        <v>29.96</v>
      </c>
      <c r="T46" s="2">
        <v>29.96</v>
      </c>
      <c r="U46" s="2">
        <v>29.39</v>
      </c>
      <c r="V46" s="2">
        <v>28.29</v>
      </c>
      <c r="W46" s="2">
        <v>26.67</v>
      </c>
      <c r="X46" s="2">
        <v>24.59</v>
      </c>
      <c r="Y46" s="2">
        <v>22.11</v>
      </c>
      <c r="Z46" s="2">
        <v>19.27</v>
      </c>
      <c r="AA46" s="2">
        <v>16.149999999999999</v>
      </c>
      <c r="AB46" s="2">
        <v>12.79</v>
      </c>
      <c r="AC46" s="2">
        <v>9.26</v>
      </c>
      <c r="AD46" s="2">
        <v>5.6</v>
      </c>
      <c r="AE46" s="2">
        <v>1.87</v>
      </c>
      <c r="AF46" s="2"/>
    </row>
    <row r="47" spans="1:33">
      <c r="A47" t="s">
        <v>510</v>
      </c>
      <c r="H47" s="2">
        <v>1.57</v>
      </c>
      <c r="I47" s="2">
        <v>4.72</v>
      </c>
      <c r="J47" s="2">
        <v>7.81</v>
      </c>
      <c r="K47" s="2">
        <v>10.78</v>
      </c>
      <c r="L47" s="2">
        <v>13.59</v>
      </c>
      <c r="M47" s="2">
        <v>16.190000000000001</v>
      </c>
      <c r="N47" s="2">
        <v>18.54</v>
      </c>
      <c r="O47" s="2">
        <v>20.59</v>
      </c>
      <c r="P47" s="2">
        <v>22.3</v>
      </c>
      <c r="Q47" s="2">
        <v>23.61</v>
      </c>
      <c r="R47" s="2">
        <v>24.51</v>
      </c>
      <c r="S47" s="2">
        <v>24.97</v>
      </c>
      <c r="T47" s="2">
        <v>24.97</v>
      </c>
      <c r="U47" s="2">
        <v>24.51</v>
      </c>
      <c r="V47" s="2">
        <v>23.61</v>
      </c>
      <c r="W47" s="2">
        <v>22.3</v>
      </c>
      <c r="X47" s="2">
        <v>20.59</v>
      </c>
      <c r="Y47" s="2">
        <v>18.54</v>
      </c>
      <c r="Z47" s="2">
        <v>16.190000000000001</v>
      </c>
      <c r="AA47" s="2">
        <v>13.59</v>
      </c>
      <c r="AB47" s="2">
        <v>10.78</v>
      </c>
      <c r="AC47" s="2">
        <v>7.81</v>
      </c>
      <c r="AD47" s="2">
        <v>4.72</v>
      </c>
      <c r="AE47" s="2">
        <v>1.57</v>
      </c>
      <c r="AF47" s="2"/>
    </row>
    <row r="48" spans="1:33">
      <c r="A48" t="s">
        <v>511</v>
      </c>
      <c r="H48" s="2">
        <v>1.26</v>
      </c>
      <c r="I48" s="2">
        <v>3.81</v>
      </c>
      <c r="J48" s="2">
        <v>6.3</v>
      </c>
      <c r="K48" s="2">
        <v>8.6999999999999993</v>
      </c>
      <c r="L48" s="2">
        <v>10.96</v>
      </c>
      <c r="M48" s="2">
        <v>13.04</v>
      </c>
      <c r="N48" s="2">
        <v>14.91</v>
      </c>
      <c r="O48" s="2">
        <v>16.54</v>
      </c>
      <c r="P48" s="2">
        <v>17.88</v>
      </c>
      <c r="Q48" s="2">
        <v>18.920000000000002</v>
      </c>
      <c r="R48" s="2">
        <v>19.62</v>
      </c>
      <c r="S48" s="2">
        <v>19.98</v>
      </c>
      <c r="T48" s="2">
        <v>19.98</v>
      </c>
      <c r="U48" s="2">
        <v>19.62</v>
      </c>
      <c r="V48" s="2">
        <v>18.920000000000002</v>
      </c>
      <c r="W48" s="2">
        <v>17.88</v>
      </c>
      <c r="X48" s="2">
        <v>16.54</v>
      </c>
      <c r="Y48" s="2">
        <v>14.91</v>
      </c>
      <c r="Z48" s="2">
        <v>13.04</v>
      </c>
      <c r="AA48" s="2">
        <v>10.96</v>
      </c>
      <c r="AB48" s="2">
        <v>8.6999999999999993</v>
      </c>
      <c r="AC48" s="2">
        <v>6.3</v>
      </c>
      <c r="AD48" s="2">
        <v>3.81</v>
      </c>
      <c r="AE48" s="2">
        <v>1.26</v>
      </c>
      <c r="AF48" s="2"/>
    </row>
    <row r="49" spans="1:32">
      <c r="A49" t="s">
        <v>512</v>
      </c>
      <c r="H49" s="2">
        <v>0.93</v>
      </c>
      <c r="I49" s="2">
        <v>2.87</v>
      </c>
      <c r="J49" s="2">
        <v>4.75</v>
      </c>
      <c r="K49" s="2">
        <v>6.56</v>
      </c>
      <c r="L49" s="2">
        <v>8.26</v>
      </c>
      <c r="M49" s="2">
        <v>9.82</v>
      </c>
      <c r="N49" s="2">
        <v>11.22</v>
      </c>
      <c r="O49" s="2">
        <v>12.43</v>
      </c>
      <c r="P49" s="2">
        <v>13.43</v>
      </c>
      <c r="Q49" s="2">
        <v>14.2</v>
      </c>
      <c r="R49" s="2">
        <v>14.73</v>
      </c>
      <c r="S49" s="2">
        <v>14.99</v>
      </c>
      <c r="T49" s="2">
        <v>14.99</v>
      </c>
      <c r="U49" s="2">
        <v>14.73</v>
      </c>
      <c r="V49" s="2">
        <v>14.2</v>
      </c>
      <c r="W49" s="2">
        <v>13.43</v>
      </c>
      <c r="X49" s="2">
        <v>12.43</v>
      </c>
      <c r="Y49" s="2">
        <v>11.22</v>
      </c>
      <c r="Z49" s="2">
        <v>9.82</v>
      </c>
      <c r="AA49" s="2">
        <v>8.26</v>
      </c>
      <c r="AB49" s="2">
        <v>6.56</v>
      </c>
      <c r="AC49" s="2">
        <v>4.75</v>
      </c>
      <c r="AD49" s="2">
        <v>2.87</v>
      </c>
      <c r="AE49" s="2">
        <v>0.93</v>
      </c>
      <c r="AF49" s="2"/>
    </row>
    <row r="50" spans="1:32">
      <c r="A50" t="s">
        <v>513</v>
      </c>
      <c r="H50" s="2">
        <v>0.6</v>
      </c>
      <c r="I50" s="2">
        <v>1.9</v>
      </c>
      <c r="J50" s="2">
        <v>3.17</v>
      </c>
      <c r="K50" s="2">
        <v>4.38</v>
      </c>
      <c r="L50" s="2">
        <v>5.52</v>
      </c>
      <c r="M50" s="2">
        <v>6.56</v>
      </c>
      <c r="N50" s="2">
        <v>7.5</v>
      </c>
      <c r="O50" s="2">
        <v>8.3000000000000007</v>
      </c>
      <c r="P50" s="2">
        <v>8.9700000000000006</v>
      </c>
      <c r="Q50" s="2">
        <v>9.48</v>
      </c>
      <c r="R50" s="2">
        <v>9.82</v>
      </c>
      <c r="S50" s="2">
        <v>10</v>
      </c>
      <c r="T50" s="2">
        <v>10</v>
      </c>
      <c r="U50" s="2">
        <v>9.82</v>
      </c>
      <c r="V50" s="2">
        <v>9.48</v>
      </c>
      <c r="W50" s="2">
        <v>8.9700000000000006</v>
      </c>
      <c r="X50" s="2">
        <v>8.3000000000000007</v>
      </c>
      <c r="Y50" s="2">
        <v>7.5</v>
      </c>
      <c r="Z50" s="2">
        <v>6.56</v>
      </c>
      <c r="AA50" s="2">
        <v>5.52</v>
      </c>
      <c r="AB50" s="2">
        <v>4.38</v>
      </c>
      <c r="AC50" s="2">
        <v>3.17</v>
      </c>
      <c r="AD50" s="2">
        <v>1.9</v>
      </c>
      <c r="AE50" s="2">
        <v>0.6</v>
      </c>
      <c r="AF50" s="2"/>
    </row>
    <row r="51" spans="1:32">
      <c r="A51" t="s">
        <v>514</v>
      </c>
      <c r="H51" s="2">
        <v>0.27</v>
      </c>
      <c r="I51" s="2">
        <v>0.92</v>
      </c>
      <c r="J51" s="2">
        <v>1.56</v>
      </c>
      <c r="K51" s="2">
        <v>2.1800000000000002</v>
      </c>
      <c r="L51" s="2">
        <v>2.75</v>
      </c>
      <c r="M51" s="2">
        <v>3.28</v>
      </c>
      <c r="N51" s="2">
        <v>3.75</v>
      </c>
      <c r="O51" s="2">
        <v>4.1500000000000004</v>
      </c>
      <c r="P51" s="2">
        <v>4.49</v>
      </c>
      <c r="Q51" s="2">
        <v>4.74</v>
      </c>
      <c r="R51" s="2">
        <v>4.92</v>
      </c>
      <c r="S51" s="2">
        <v>5.01</v>
      </c>
      <c r="T51" s="2">
        <v>5.01</v>
      </c>
      <c r="U51" s="2">
        <v>4.92</v>
      </c>
      <c r="V51" s="2">
        <v>4.74</v>
      </c>
      <c r="W51" s="2">
        <v>4.49</v>
      </c>
      <c r="X51" s="2">
        <v>4.1500000000000004</v>
      </c>
      <c r="Y51" s="2">
        <v>3.75</v>
      </c>
      <c r="Z51" s="2">
        <v>3.28</v>
      </c>
      <c r="AA51" s="2">
        <v>2.75</v>
      </c>
      <c r="AB51" s="2">
        <v>2.1800000000000002</v>
      </c>
      <c r="AC51" s="2">
        <v>1.56</v>
      </c>
      <c r="AD51" s="2">
        <v>0.92</v>
      </c>
      <c r="AE51" s="2">
        <v>0.27</v>
      </c>
      <c r="AF51" s="2"/>
    </row>
    <row r="52" spans="1:32"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>
      <c r="A53" t="s">
        <v>481</v>
      </c>
      <c r="G53" t="s">
        <v>496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>
      <c r="A54" t="s">
        <v>528</v>
      </c>
      <c r="G54" s="2">
        <f>SUM(H54:AE54)/48</f>
        <v>436.3742268768064</v>
      </c>
      <c r="H54" s="2">
        <f t="shared" ref="H54:AE64" si="1">$F$6*SIN(PI()/180*H34)</f>
        <v>92.262787600191558</v>
      </c>
      <c r="I54" s="2">
        <f t="shared" si="1"/>
        <v>269.49590886068825</v>
      </c>
      <c r="J54" s="2">
        <f t="shared" si="1"/>
        <v>442.1178804021967</v>
      </c>
      <c r="K54" s="2">
        <f t="shared" si="1"/>
        <v>607.17509243178938</v>
      </c>
      <c r="L54" s="2">
        <f t="shared" si="1"/>
        <v>761.84337028913512</v>
      </c>
      <c r="M54" s="2">
        <f t="shared" si="1"/>
        <v>903.47629685794664</v>
      </c>
      <c r="N54" s="2">
        <f t="shared" si="1"/>
        <v>1029.8074127944778</v>
      </c>
      <c r="O54" s="2">
        <f t="shared" si="1"/>
        <v>1138.3392031729784</v>
      </c>
      <c r="P54" s="2">
        <f t="shared" si="1"/>
        <v>1227.393694177937</v>
      </c>
      <c r="Q54" s="2">
        <f t="shared" si="1"/>
        <v>1295.4471387776891</v>
      </c>
      <c r="R54" s="2">
        <f t="shared" si="1"/>
        <v>1341.3351236671535</v>
      </c>
      <c r="S54" s="2">
        <f t="shared" si="1"/>
        <v>1364.2875360111705</v>
      </c>
      <c r="T54" s="2">
        <f t="shared" si="1"/>
        <v>1364.2875360111705</v>
      </c>
      <c r="U54" s="2">
        <f t="shared" si="1"/>
        <v>1341.3351236671535</v>
      </c>
      <c r="V54" s="2">
        <f t="shared" si="1"/>
        <v>1295.4471387776891</v>
      </c>
      <c r="W54" s="2">
        <f t="shared" si="1"/>
        <v>1227.393694177937</v>
      </c>
      <c r="X54" s="2">
        <f t="shared" si="1"/>
        <v>1138.3392031729784</v>
      </c>
      <c r="Y54" s="2">
        <f t="shared" si="1"/>
        <v>1029.8074127944778</v>
      </c>
      <c r="Z54" s="2">
        <f t="shared" si="1"/>
        <v>903.47629685794664</v>
      </c>
      <c r="AA54" s="2">
        <f t="shared" si="1"/>
        <v>761.84337028913512</v>
      </c>
      <c r="AB54" s="2">
        <f t="shared" si="1"/>
        <v>607.17509243178938</v>
      </c>
      <c r="AC54" s="2">
        <f t="shared" si="1"/>
        <v>442.1178804021967</v>
      </c>
      <c r="AD54" s="2">
        <f t="shared" si="1"/>
        <v>269.49590886068825</v>
      </c>
      <c r="AE54" s="2">
        <f t="shared" si="1"/>
        <v>92.262787600191558</v>
      </c>
      <c r="AF54" s="2"/>
    </row>
    <row r="55" spans="1:32">
      <c r="A55" t="s">
        <v>506</v>
      </c>
      <c r="G55" s="2">
        <f t="shared" ref="G55:G71" si="2">SUM(H55:AE55)/48</f>
        <v>434.6809476228679</v>
      </c>
      <c r="H55" s="2">
        <f t="shared" si="1"/>
        <v>91.548647566622336</v>
      </c>
      <c r="I55" s="2">
        <f t="shared" si="1"/>
        <v>268.32628570677241</v>
      </c>
      <c r="J55" s="2">
        <f t="shared" si="1"/>
        <v>440.31134092951044</v>
      </c>
      <c r="K55" s="2">
        <f t="shared" si="1"/>
        <v>604.82261205576549</v>
      </c>
      <c r="L55" s="2">
        <f t="shared" si="1"/>
        <v>758.86927216345123</v>
      </c>
      <c r="M55" s="2">
        <f t="shared" si="1"/>
        <v>900.06940503980093</v>
      </c>
      <c r="N55" s="2">
        <f t="shared" si="1"/>
        <v>1025.7173298856603</v>
      </c>
      <c r="O55" s="2">
        <f t="shared" si="1"/>
        <v>1133.9610094843733</v>
      </c>
      <c r="P55" s="2">
        <f t="shared" si="1"/>
        <v>1222.7358609655744</v>
      </c>
      <c r="Q55" s="2">
        <f t="shared" si="1"/>
        <v>1290.569690876936</v>
      </c>
      <c r="R55" s="2">
        <f t="shared" si="1"/>
        <v>1336.2786020649062</v>
      </c>
      <c r="S55" s="2">
        <f t="shared" si="1"/>
        <v>1359.132686209455</v>
      </c>
      <c r="T55" s="2">
        <f t="shared" si="1"/>
        <v>1359.132686209455</v>
      </c>
      <c r="U55" s="2">
        <f t="shared" si="1"/>
        <v>1336.2786020649062</v>
      </c>
      <c r="V55" s="2">
        <f t="shared" si="1"/>
        <v>1290.569690876936</v>
      </c>
      <c r="W55" s="2">
        <f t="shared" si="1"/>
        <v>1222.7358609655744</v>
      </c>
      <c r="X55" s="2">
        <f t="shared" si="1"/>
        <v>1133.9610094843733</v>
      </c>
      <c r="Y55" s="2">
        <f t="shared" si="1"/>
        <v>1025.7173298856603</v>
      </c>
      <c r="Z55" s="2">
        <f t="shared" si="1"/>
        <v>900.06940503980093</v>
      </c>
      <c r="AA55" s="2">
        <f t="shared" si="1"/>
        <v>758.86927216345123</v>
      </c>
      <c r="AB55" s="2">
        <f t="shared" si="1"/>
        <v>604.82261205576549</v>
      </c>
      <c r="AC55" s="2">
        <f t="shared" si="1"/>
        <v>440.31134092951044</v>
      </c>
      <c r="AD55" s="2">
        <f t="shared" si="1"/>
        <v>268.32628570677241</v>
      </c>
      <c r="AE55" s="2">
        <f t="shared" si="1"/>
        <v>91.548647566622336</v>
      </c>
      <c r="AF55" s="2"/>
    </row>
    <row r="56" spans="1:32">
      <c r="A56" t="s">
        <v>505</v>
      </c>
      <c r="G56" s="2">
        <f t="shared" si="2"/>
        <v>429.68200797979694</v>
      </c>
      <c r="H56" s="2">
        <f t="shared" si="1"/>
        <v>90.358358499403366</v>
      </c>
      <c r="I56" s="2">
        <f t="shared" si="1"/>
        <v>265.05025661939874</v>
      </c>
      <c r="J56" s="2">
        <f t="shared" si="1"/>
        <v>435.1127706049673</v>
      </c>
      <c r="K56" s="2">
        <f t="shared" si="1"/>
        <v>597.75182986864343</v>
      </c>
      <c r="L56" s="2">
        <f t="shared" si="1"/>
        <v>750.11532176693765</v>
      </c>
      <c r="M56" s="2">
        <f t="shared" si="1"/>
        <v>889.7894933423978</v>
      </c>
      <c r="N56" s="2">
        <f t="shared" si="1"/>
        <v>1013.9610033338565</v>
      </c>
      <c r="O56" s="2">
        <f t="shared" si="1"/>
        <v>1121.0110909576451</v>
      </c>
      <c r="P56" s="2">
        <f t="shared" si="1"/>
        <v>1208.7768042340908</v>
      </c>
      <c r="Q56" s="2">
        <f t="shared" si="1"/>
        <v>1275.7764483436906</v>
      </c>
      <c r="R56" s="2">
        <f t="shared" si="1"/>
        <v>1321.0361004322572</v>
      </c>
      <c r="S56" s="2">
        <f t="shared" si="1"/>
        <v>1343.6287135118371</v>
      </c>
      <c r="T56" s="2">
        <f t="shared" si="1"/>
        <v>1343.6287135118371</v>
      </c>
      <c r="U56" s="2">
        <f t="shared" si="1"/>
        <v>1321.0361004322572</v>
      </c>
      <c r="V56" s="2">
        <f t="shared" si="1"/>
        <v>1275.7764483436906</v>
      </c>
      <c r="W56" s="2">
        <f t="shared" si="1"/>
        <v>1208.7768042340908</v>
      </c>
      <c r="X56" s="2">
        <f t="shared" si="1"/>
        <v>1121.0110909576451</v>
      </c>
      <c r="Y56" s="2">
        <f t="shared" si="1"/>
        <v>1013.9610033338565</v>
      </c>
      <c r="Z56" s="2">
        <f t="shared" si="1"/>
        <v>889.7894933423978</v>
      </c>
      <c r="AA56" s="2">
        <f t="shared" si="1"/>
        <v>750.11532176693765</v>
      </c>
      <c r="AB56" s="2">
        <f t="shared" si="1"/>
        <v>597.75182986864343</v>
      </c>
      <c r="AC56" s="2">
        <f t="shared" si="1"/>
        <v>435.1127706049673</v>
      </c>
      <c r="AD56" s="2">
        <f t="shared" si="1"/>
        <v>265.05025661939874</v>
      </c>
      <c r="AE56" s="2">
        <f t="shared" si="1"/>
        <v>90.358358499403366</v>
      </c>
      <c r="AF56" s="2"/>
    </row>
    <row r="57" spans="1:32">
      <c r="A57" t="s">
        <v>504</v>
      </c>
      <c r="G57" s="2">
        <f t="shared" si="2"/>
        <v>421.42929130792351</v>
      </c>
      <c r="H57" s="2">
        <f t="shared" si="1"/>
        <v>88.691838404494348</v>
      </c>
      <c r="I57" s="2">
        <f t="shared" si="1"/>
        <v>259.89902118134938</v>
      </c>
      <c r="J57" s="2">
        <f t="shared" si="1"/>
        <v>426.73517658919093</v>
      </c>
      <c r="K57" s="2">
        <f t="shared" si="1"/>
        <v>586.13879481875483</v>
      </c>
      <c r="L57" s="2">
        <f t="shared" si="1"/>
        <v>735.69549258444465</v>
      </c>
      <c r="M57" s="2">
        <f t="shared" si="1"/>
        <v>872.64478181220943</v>
      </c>
      <c r="N57" s="2">
        <f t="shared" si="1"/>
        <v>994.53804510046939</v>
      </c>
      <c r="O57" s="2">
        <f t="shared" si="1"/>
        <v>1099.4397273971701</v>
      </c>
      <c r="P57" s="2">
        <f t="shared" si="1"/>
        <v>1185.523296765286</v>
      </c>
      <c r="Q57" s="2">
        <f t="shared" si="1"/>
        <v>1251.3268628251049</v>
      </c>
      <c r="R57" s="2">
        <f t="shared" si="1"/>
        <v>1295.7515363236594</v>
      </c>
      <c r="S57" s="2">
        <f t="shared" si="1"/>
        <v>1317.9184175880284</v>
      </c>
      <c r="T57" s="2">
        <f t="shared" si="1"/>
        <v>1317.9184175880284</v>
      </c>
      <c r="U57" s="2">
        <f t="shared" si="1"/>
        <v>1295.7515363236594</v>
      </c>
      <c r="V57" s="2">
        <f t="shared" si="1"/>
        <v>1251.3268628251049</v>
      </c>
      <c r="W57" s="2">
        <f t="shared" si="1"/>
        <v>1185.523296765286</v>
      </c>
      <c r="X57" s="2">
        <f t="shared" si="1"/>
        <v>1099.4397273971701</v>
      </c>
      <c r="Y57" s="2">
        <f t="shared" si="1"/>
        <v>994.53804510046939</v>
      </c>
      <c r="Z57" s="2">
        <f t="shared" si="1"/>
        <v>872.64478181220943</v>
      </c>
      <c r="AA57" s="2">
        <f t="shared" si="1"/>
        <v>735.69549258444465</v>
      </c>
      <c r="AB57" s="2">
        <f t="shared" si="1"/>
        <v>586.13879481875483</v>
      </c>
      <c r="AC57" s="2">
        <f t="shared" si="1"/>
        <v>426.73517658919093</v>
      </c>
      <c r="AD57" s="2">
        <f t="shared" si="1"/>
        <v>259.89902118134938</v>
      </c>
      <c r="AE57" s="2">
        <f t="shared" si="1"/>
        <v>88.691838404494348</v>
      </c>
      <c r="AF57" s="2"/>
    </row>
    <row r="58" spans="1:32">
      <c r="A58" t="s">
        <v>503</v>
      </c>
      <c r="G58" s="2">
        <f t="shared" si="2"/>
        <v>409.94812195072342</v>
      </c>
      <c r="H58" s="2">
        <f t="shared" si="1"/>
        <v>86.07275460079866</v>
      </c>
      <c r="I58" s="2">
        <f t="shared" si="1"/>
        <v>252.63397595571755</v>
      </c>
      <c r="J58" s="2">
        <f t="shared" si="1"/>
        <v>414.93126081445291</v>
      </c>
      <c r="K58" s="2">
        <f t="shared" si="1"/>
        <v>570.14028354633399</v>
      </c>
      <c r="L58" s="2">
        <f t="shared" si="1"/>
        <v>715.67900363477395</v>
      </c>
      <c r="M58" s="2">
        <f t="shared" si="1"/>
        <v>848.92202402281805</v>
      </c>
      <c r="N58" s="2">
        <f t="shared" si="1"/>
        <v>967.45813240644736</v>
      </c>
      <c r="O58" s="2">
        <f t="shared" si="1"/>
        <v>1069.5282380581959</v>
      </c>
      <c r="P58" s="2">
        <f t="shared" si="1"/>
        <v>1153.3005256825184</v>
      </c>
      <c r="Q58" s="2">
        <f t="shared" si="1"/>
        <v>1217.3553547878407</v>
      </c>
      <c r="R58" s="2">
        <f t="shared" si="1"/>
        <v>1260.5564450549664</v>
      </c>
      <c r="S58" s="2">
        <f t="shared" si="1"/>
        <v>1282.1769282525017</v>
      </c>
      <c r="T58" s="2">
        <f t="shared" si="1"/>
        <v>1282.1769282525017</v>
      </c>
      <c r="U58" s="2">
        <f t="shared" si="1"/>
        <v>1260.5564450549664</v>
      </c>
      <c r="V58" s="2">
        <f t="shared" si="1"/>
        <v>1217.3553547878407</v>
      </c>
      <c r="W58" s="2">
        <f t="shared" si="1"/>
        <v>1153.3005256825184</v>
      </c>
      <c r="X58" s="2">
        <f t="shared" si="1"/>
        <v>1069.5282380581959</v>
      </c>
      <c r="Y58" s="2">
        <f t="shared" si="1"/>
        <v>967.45813240644736</v>
      </c>
      <c r="Z58" s="2">
        <f t="shared" si="1"/>
        <v>848.92202402281805</v>
      </c>
      <c r="AA58" s="2">
        <f t="shared" si="1"/>
        <v>715.67900363477395</v>
      </c>
      <c r="AB58" s="2">
        <f t="shared" si="1"/>
        <v>570.14028354633399</v>
      </c>
      <c r="AC58" s="2">
        <f t="shared" si="1"/>
        <v>414.93126081445291</v>
      </c>
      <c r="AD58" s="2">
        <f t="shared" si="1"/>
        <v>252.63397595571755</v>
      </c>
      <c r="AE58" s="2">
        <f t="shared" si="1"/>
        <v>86.07275460079866</v>
      </c>
      <c r="AF58" s="2"/>
    </row>
    <row r="59" spans="1:32">
      <c r="A59" t="s">
        <v>502</v>
      </c>
      <c r="G59" s="2">
        <f t="shared" si="2"/>
        <v>395.35382369385655</v>
      </c>
      <c r="H59" s="2">
        <f t="shared" si="1"/>
        <v>82.738917646743218</v>
      </c>
      <c r="I59" s="2">
        <f t="shared" si="1"/>
        <v>243.4836017911752</v>
      </c>
      <c r="J59" s="2">
        <f t="shared" si="1"/>
        <v>400.12841882334436</v>
      </c>
      <c r="K59" s="2">
        <f t="shared" si="1"/>
        <v>549.89950668731956</v>
      </c>
      <c r="L59" s="2">
        <f t="shared" si="1"/>
        <v>690.10120878866746</v>
      </c>
      <c r="M59" s="2">
        <f t="shared" si="1"/>
        <v>818.67420299750529</v>
      </c>
      <c r="N59" s="2">
        <f t="shared" si="1"/>
        <v>932.98949546021606</v>
      </c>
      <c r="O59" s="2">
        <f t="shared" si="1"/>
        <v>1031.5314536185581</v>
      </c>
      <c r="P59" s="2">
        <f t="shared" si="1"/>
        <v>1112.3414508688418</v>
      </c>
      <c r="Q59" s="2">
        <f t="shared" si="1"/>
        <v>1174.0759947013189</v>
      </c>
      <c r="R59" s="2">
        <f t="shared" si="1"/>
        <v>1215.8321822892037</v>
      </c>
      <c r="S59" s="2">
        <f t="shared" si="1"/>
        <v>1236.6953349796615</v>
      </c>
      <c r="T59" s="2">
        <f t="shared" si="1"/>
        <v>1236.6953349796615</v>
      </c>
      <c r="U59" s="2">
        <f t="shared" si="1"/>
        <v>1215.8321822892037</v>
      </c>
      <c r="V59" s="2">
        <f t="shared" si="1"/>
        <v>1174.0759947013189</v>
      </c>
      <c r="W59" s="2">
        <f t="shared" si="1"/>
        <v>1112.3414508688418</v>
      </c>
      <c r="X59" s="2">
        <f t="shared" si="1"/>
        <v>1031.5314536185581</v>
      </c>
      <c r="Y59" s="2">
        <f t="shared" si="1"/>
        <v>932.98949546021606</v>
      </c>
      <c r="Z59" s="2">
        <f t="shared" si="1"/>
        <v>818.67420299750529</v>
      </c>
      <c r="AA59" s="2">
        <f t="shared" si="1"/>
        <v>690.10120878866746</v>
      </c>
      <c r="AB59" s="2">
        <f t="shared" si="1"/>
        <v>549.89950668731956</v>
      </c>
      <c r="AC59" s="2">
        <f t="shared" si="1"/>
        <v>400.12841882334436</v>
      </c>
      <c r="AD59" s="2">
        <f t="shared" si="1"/>
        <v>243.4836017911752</v>
      </c>
      <c r="AE59" s="2">
        <f t="shared" si="1"/>
        <v>82.738917646743218</v>
      </c>
      <c r="AF59" s="2"/>
    </row>
    <row r="60" spans="1:32">
      <c r="A60" t="s">
        <v>498</v>
      </c>
      <c r="G60" s="2">
        <f t="shared" si="2"/>
        <v>377.76818359051123</v>
      </c>
      <c r="H60" s="2">
        <f t="shared" si="1"/>
        <v>78.928214542564277</v>
      </c>
      <c r="I60" s="2">
        <f t="shared" si="1"/>
        <v>232.6763853599665</v>
      </c>
      <c r="J60" s="2">
        <f t="shared" si="1"/>
        <v>382.29720141233923</v>
      </c>
      <c r="K60" s="2">
        <f t="shared" si="1"/>
        <v>525.33170607595173</v>
      </c>
      <c r="L60" s="2">
        <f t="shared" si="1"/>
        <v>659.39341174823937</v>
      </c>
      <c r="M60" s="2">
        <f t="shared" si="1"/>
        <v>782.12340900002062</v>
      </c>
      <c r="N60" s="2">
        <f t="shared" si="1"/>
        <v>891.59938508258233</v>
      </c>
      <c r="O60" s="2">
        <f t="shared" si="1"/>
        <v>985.6548748618261</v>
      </c>
      <c r="P60" s="2">
        <f t="shared" si="1"/>
        <v>1062.9588597925087</v>
      </c>
      <c r="Q60" s="2">
        <f t="shared" si="1"/>
        <v>1121.9660371504767</v>
      </c>
      <c r="R60" s="2">
        <f t="shared" si="1"/>
        <v>1161.803311313043</v>
      </c>
      <c r="S60" s="2">
        <f t="shared" si="1"/>
        <v>1181.7036098327524</v>
      </c>
      <c r="T60" s="2">
        <f t="shared" si="1"/>
        <v>1181.7036098327524</v>
      </c>
      <c r="U60" s="2">
        <f t="shared" si="1"/>
        <v>1161.803311313043</v>
      </c>
      <c r="V60" s="2">
        <f t="shared" si="1"/>
        <v>1121.9660371504767</v>
      </c>
      <c r="W60" s="2">
        <f t="shared" si="1"/>
        <v>1062.9588597925087</v>
      </c>
      <c r="X60" s="2">
        <f t="shared" si="1"/>
        <v>985.6548748618261</v>
      </c>
      <c r="Y60" s="2">
        <f t="shared" si="1"/>
        <v>891.59938508258233</v>
      </c>
      <c r="Z60" s="2">
        <f t="shared" si="1"/>
        <v>782.12340900002062</v>
      </c>
      <c r="AA60" s="2">
        <f t="shared" si="1"/>
        <v>659.39341174823937</v>
      </c>
      <c r="AB60" s="2">
        <f t="shared" si="1"/>
        <v>525.33170607595173</v>
      </c>
      <c r="AC60" s="2">
        <f t="shared" si="1"/>
        <v>382.29720141233923</v>
      </c>
      <c r="AD60" s="2">
        <f t="shared" si="1"/>
        <v>232.6763853599665</v>
      </c>
      <c r="AE60" s="2">
        <f t="shared" si="1"/>
        <v>78.928214542564277</v>
      </c>
      <c r="AF60" s="2"/>
    </row>
    <row r="61" spans="1:32">
      <c r="A61" t="s">
        <v>499</v>
      </c>
      <c r="G61" s="2">
        <f t="shared" si="2"/>
        <v>357.18590415453394</v>
      </c>
      <c r="H61" s="2">
        <f t="shared" si="1"/>
        <v>74.640439318039498</v>
      </c>
      <c r="I61" s="2">
        <f t="shared" si="1"/>
        <v>219.97056784972216</v>
      </c>
      <c r="J61" s="2">
        <f t="shared" si="1"/>
        <v>361.40480098603098</v>
      </c>
      <c r="K61" s="2">
        <f t="shared" si="1"/>
        <v>496.78671344954438</v>
      </c>
      <c r="L61" s="2">
        <f t="shared" si="1"/>
        <v>623.57930742409121</v>
      </c>
      <c r="M61" s="2">
        <f t="shared" si="1"/>
        <v>739.71275165743918</v>
      </c>
      <c r="N61" s="2">
        <f t="shared" si="1"/>
        <v>843.30027639179809</v>
      </c>
      <c r="O61" s="2">
        <f t="shared" si="1"/>
        <v>932.29175820543537</v>
      </c>
      <c r="P61" s="2">
        <f t="shared" si="1"/>
        <v>1005.4368676732921</v>
      </c>
      <c r="Q61" s="2">
        <f t="shared" si="1"/>
        <v>1061.3067052367144</v>
      </c>
      <c r="R61" s="2">
        <f t="shared" si="1"/>
        <v>1096.1698742843942</v>
      </c>
      <c r="S61" s="2">
        <f t="shared" si="1"/>
        <v>1117.8616372323115</v>
      </c>
      <c r="T61" s="2">
        <f t="shared" si="1"/>
        <v>1117.8616372323115</v>
      </c>
      <c r="U61" s="2">
        <f t="shared" si="1"/>
        <v>1096.1698742843942</v>
      </c>
      <c r="V61" s="2">
        <f t="shared" si="1"/>
        <v>1061.3067052367144</v>
      </c>
      <c r="W61" s="2">
        <f t="shared" si="1"/>
        <v>1005.4368676732921</v>
      </c>
      <c r="X61" s="2">
        <f t="shared" si="1"/>
        <v>932.29175820543537</v>
      </c>
      <c r="Y61" s="2">
        <f t="shared" si="1"/>
        <v>843.30027639179809</v>
      </c>
      <c r="Z61" s="2">
        <f t="shared" si="1"/>
        <v>739.71275165743918</v>
      </c>
      <c r="AA61" s="2">
        <f t="shared" si="1"/>
        <v>623.57930742409121</v>
      </c>
      <c r="AB61" s="2">
        <f t="shared" si="1"/>
        <v>496.78671344954438</v>
      </c>
      <c r="AC61" s="2">
        <f t="shared" si="1"/>
        <v>361.40480098603098</v>
      </c>
      <c r="AD61" s="2">
        <f t="shared" si="1"/>
        <v>219.97056784972216</v>
      </c>
      <c r="AE61" s="2">
        <f t="shared" si="1"/>
        <v>74.640439318039498</v>
      </c>
      <c r="AF61" s="2"/>
    </row>
    <row r="62" spans="1:32">
      <c r="A62" t="s">
        <v>500</v>
      </c>
      <c r="G62" s="2">
        <f t="shared" si="2"/>
        <v>333.79086082419087</v>
      </c>
      <c r="H62" s="2">
        <f t="shared" si="1"/>
        <v>69.637106790986095</v>
      </c>
      <c r="I62" s="2">
        <f t="shared" si="1"/>
        <v>205.3583803280749</v>
      </c>
      <c r="J62" s="2">
        <f t="shared" si="1"/>
        <v>337.8788393284259</v>
      </c>
      <c r="K62" s="2">
        <f t="shared" si="1"/>
        <v>464.40137157786984</v>
      </c>
      <c r="L62" s="2">
        <f t="shared" si="1"/>
        <v>583.11946744529348</v>
      </c>
      <c r="M62" s="2">
        <f t="shared" si="1"/>
        <v>684.32632127836769</v>
      </c>
      <c r="N62" s="2">
        <f t="shared" si="1"/>
        <v>788.56774740768572</v>
      </c>
      <c r="O62" s="2">
        <f t="shared" si="1"/>
        <v>871.90997671092214</v>
      </c>
      <c r="P62" s="2">
        <f t="shared" si="1"/>
        <v>940.1150240907474</v>
      </c>
      <c r="Q62" s="2">
        <f t="shared" si="1"/>
        <v>992.40754807631993</v>
      </c>
      <c r="R62" s="2">
        <f t="shared" si="1"/>
        <v>1027.7650168237622</v>
      </c>
      <c r="S62" s="2">
        <f t="shared" si="1"/>
        <v>1045.4938599221268</v>
      </c>
      <c r="T62" s="2">
        <f t="shared" si="1"/>
        <v>1045.4938599221268</v>
      </c>
      <c r="U62" s="2">
        <f t="shared" si="1"/>
        <v>1027.7650168237622</v>
      </c>
      <c r="V62" s="2">
        <f t="shared" si="1"/>
        <v>992.40754807631993</v>
      </c>
      <c r="W62" s="2">
        <f t="shared" si="1"/>
        <v>940.1150240907474</v>
      </c>
      <c r="X62" s="2">
        <f t="shared" si="1"/>
        <v>871.90997671092214</v>
      </c>
      <c r="Y62" s="2">
        <f t="shared" si="1"/>
        <v>788.56774740768572</v>
      </c>
      <c r="Z62" s="2">
        <f t="shared" si="1"/>
        <v>684.32632127836769</v>
      </c>
      <c r="AA62" s="2">
        <f t="shared" si="1"/>
        <v>583.11946744529348</v>
      </c>
      <c r="AB62" s="2">
        <f t="shared" si="1"/>
        <v>464.40137157786984</v>
      </c>
      <c r="AC62" s="2">
        <f t="shared" si="1"/>
        <v>337.8788393284259</v>
      </c>
      <c r="AD62" s="2">
        <f t="shared" si="1"/>
        <v>205.3583803280749</v>
      </c>
      <c r="AE62" s="2">
        <f t="shared" si="1"/>
        <v>69.637106790986095</v>
      </c>
      <c r="AF62" s="2"/>
    </row>
    <row r="63" spans="1:32">
      <c r="A63" t="s">
        <v>501</v>
      </c>
      <c r="G63" s="2">
        <f t="shared" si="2"/>
        <v>308.79408317756833</v>
      </c>
      <c r="H63" s="2">
        <f t="shared" si="1"/>
        <v>63.917870910841707</v>
      </c>
      <c r="I63" s="2">
        <f t="shared" si="1"/>
        <v>189.5408091620528</v>
      </c>
      <c r="J63" s="2">
        <f t="shared" si="1"/>
        <v>311.69105485023806</v>
      </c>
      <c r="K63" s="2">
        <f t="shared" si="1"/>
        <v>428.54806817081112</v>
      </c>
      <c r="L63" s="2">
        <f t="shared" si="1"/>
        <v>538.07997102798959</v>
      </c>
      <c r="M63" s="2">
        <f t="shared" si="1"/>
        <v>638.39457825518718</v>
      </c>
      <c r="N63" s="2">
        <f t="shared" si="1"/>
        <v>727.83609874343028</v>
      </c>
      <c r="O63" s="2">
        <f t="shared" si="1"/>
        <v>804.66012234390087</v>
      </c>
      <c r="P63" s="2">
        <f t="shared" si="1"/>
        <v>867.86096213658595</v>
      </c>
      <c r="Q63" s="2">
        <f t="shared" si="1"/>
        <v>926.69353082303905</v>
      </c>
      <c r="R63" s="2">
        <f t="shared" si="1"/>
        <v>948.73950708844575</v>
      </c>
      <c r="S63" s="2">
        <f t="shared" si="1"/>
        <v>965.09542274911848</v>
      </c>
      <c r="T63" s="2">
        <f t="shared" si="1"/>
        <v>965.09542274911848</v>
      </c>
      <c r="U63" s="2">
        <f t="shared" si="1"/>
        <v>948.73950708844575</v>
      </c>
      <c r="V63" s="2">
        <f t="shared" si="1"/>
        <v>926.69353082303905</v>
      </c>
      <c r="W63" s="2">
        <f t="shared" si="1"/>
        <v>867.86096213658595</v>
      </c>
      <c r="X63" s="2">
        <f t="shared" si="1"/>
        <v>804.66012234390087</v>
      </c>
      <c r="Y63" s="2">
        <f t="shared" si="1"/>
        <v>727.83609874343028</v>
      </c>
      <c r="Z63" s="2">
        <f t="shared" si="1"/>
        <v>638.39457825518718</v>
      </c>
      <c r="AA63" s="2">
        <f t="shared" si="1"/>
        <v>538.07997102798959</v>
      </c>
      <c r="AB63" s="2">
        <f t="shared" si="1"/>
        <v>428.54806817081112</v>
      </c>
      <c r="AC63" s="2">
        <f t="shared" si="1"/>
        <v>311.69105485023806</v>
      </c>
      <c r="AD63" s="2">
        <f t="shared" si="1"/>
        <v>189.5408091620528</v>
      </c>
      <c r="AE63" s="2">
        <f t="shared" si="1"/>
        <v>63.917870910841707</v>
      </c>
      <c r="AF63" s="2"/>
    </row>
    <row r="64" spans="1:32">
      <c r="A64" t="s">
        <v>507</v>
      </c>
      <c r="G64" s="2">
        <f t="shared" si="2"/>
        <v>280.27298317302285</v>
      </c>
      <c r="H64" s="2">
        <f t="shared" si="1"/>
        <v>57.959142451783471</v>
      </c>
      <c r="I64" s="2">
        <f t="shared" si="1"/>
        <v>172.04062231293</v>
      </c>
      <c r="J64" s="2">
        <f t="shared" si="1"/>
        <v>283.28172087777227</v>
      </c>
      <c r="K64" s="2">
        <f t="shared" si="1"/>
        <v>389.39263549614606</v>
      </c>
      <c r="L64" s="2">
        <f t="shared" si="1"/>
        <v>488.99790893945635</v>
      </c>
      <c r="M64" s="2">
        <f t="shared" si="1"/>
        <v>580.31268855220014</v>
      </c>
      <c r="N64" s="2">
        <f t="shared" si="1"/>
        <v>661.48235294617166</v>
      </c>
      <c r="O64" s="2">
        <f t="shared" si="1"/>
        <v>731.46772369833616</v>
      </c>
      <c r="P64" s="2">
        <f t="shared" si="1"/>
        <v>788.95747478089834</v>
      </c>
      <c r="Q64" s="2">
        <f t="shared" si="1"/>
        <v>832.74460956695975</v>
      </c>
      <c r="R64" s="2">
        <f t="shared" si="1"/>
        <v>862.50408463262829</v>
      </c>
      <c r="S64" s="2">
        <f t="shared" si="1"/>
        <v>877.41063189726526</v>
      </c>
      <c r="T64" s="2">
        <f t="shared" si="1"/>
        <v>877.41063189726526</v>
      </c>
      <c r="U64" s="2">
        <f t="shared" si="1"/>
        <v>862.50408463262829</v>
      </c>
      <c r="V64" s="2">
        <f t="shared" si="1"/>
        <v>832.74460956695975</v>
      </c>
      <c r="W64" s="2">
        <f t="shared" ref="W64:AE64" si="3">$F$6*SIN(PI()/180*W44)</f>
        <v>788.95747478089834</v>
      </c>
      <c r="X64" s="2">
        <f t="shared" si="3"/>
        <v>731.46772369833616</v>
      </c>
      <c r="Y64" s="2">
        <f t="shared" si="3"/>
        <v>661.48235294617166</v>
      </c>
      <c r="Z64" s="2">
        <f t="shared" si="3"/>
        <v>580.31268855220014</v>
      </c>
      <c r="AA64" s="2">
        <f t="shared" si="3"/>
        <v>488.99790893945635</v>
      </c>
      <c r="AB64" s="2">
        <f t="shared" si="3"/>
        <v>389.39263549614606</v>
      </c>
      <c r="AC64" s="2">
        <f t="shared" si="3"/>
        <v>283.28172087777227</v>
      </c>
      <c r="AD64" s="2">
        <f t="shared" si="3"/>
        <v>172.04062231293</v>
      </c>
      <c r="AE64" s="2">
        <f t="shared" si="3"/>
        <v>57.959142451783471</v>
      </c>
      <c r="AF64" s="2"/>
    </row>
    <row r="65" spans="1:32">
      <c r="A65" t="s">
        <v>508</v>
      </c>
      <c r="G65" s="2">
        <f t="shared" si="2"/>
        <v>250.04350671045813</v>
      </c>
      <c r="H65" s="2">
        <f t="shared" ref="H65:AE71" si="4">$F$6*SIN(PI()/180*H45)</f>
        <v>51.522479709800514</v>
      </c>
      <c r="I65" s="2">
        <f t="shared" si="4"/>
        <v>153.3263915887585</v>
      </c>
      <c r="J65" s="2">
        <f t="shared" si="4"/>
        <v>252.63397595571755</v>
      </c>
      <c r="K65" s="2">
        <f t="shared" si="4"/>
        <v>347.34864317680297</v>
      </c>
      <c r="L65" s="2">
        <f t="shared" si="4"/>
        <v>436.24349392443469</v>
      </c>
      <c r="M65" s="2">
        <f t="shared" si="4"/>
        <v>517.61265992077585</v>
      </c>
      <c r="N65" s="2">
        <f t="shared" si="4"/>
        <v>590.23085248800987</v>
      </c>
      <c r="O65" s="2">
        <f t="shared" si="4"/>
        <v>652.69533334091648</v>
      </c>
      <c r="P65" s="2">
        <f t="shared" si="4"/>
        <v>703.8525291259931</v>
      </c>
      <c r="Q65" s="2">
        <f t="shared" si="4"/>
        <v>743.120337188608</v>
      </c>
      <c r="R65" s="2">
        <f t="shared" si="4"/>
        <v>769.5515376026317</v>
      </c>
      <c r="S65" s="2">
        <f t="shared" si="4"/>
        <v>782.90592702854622</v>
      </c>
      <c r="T65" s="2">
        <f t="shared" si="4"/>
        <v>782.90592702854622</v>
      </c>
      <c r="U65" s="2">
        <f t="shared" si="4"/>
        <v>769.5515376026317</v>
      </c>
      <c r="V65" s="2">
        <f t="shared" si="4"/>
        <v>743.120337188608</v>
      </c>
      <c r="W65" s="2">
        <f t="shared" si="4"/>
        <v>703.8525291259931</v>
      </c>
      <c r="X65" s="2">
        <f t="shared" si="4"/>
        <v>652.69533334091648</v>
      </c>
      <c r="Y65" s="2">
        <f t="shared" si="4"/>
        <v>590.23085248800987</v>
      </c>
      <c r="Z65" s="2">
        <f t="shared" si="4"/>
        <v>517.61265992077585</v>
      </c>
      <c r="AA65" s="2">
        <f t="shared" si="4"/>
        <v>436.24349392443469</v>
      </c>
      <c r="AB65" s="2">
        <f t="shared" si="4"/>
        <v>347.34864317680297</v>
      </c>
      <c r="AC65" s="2">
        <f t="shared" si="4"/>
        <v>252.63397595571755</v>
      </c>
      <c r="AD65" s="2">
        <f t="shared" si="4"/>
        <v>153.3263915887585</v>
      </c>
      <c r="AE65" s="2">
        <f t="shared" si="4"/>
        <v>51.522479709800514</v>
      </c>
      <c r="AF65" s="2"/>
    </row>
    <row r="66" spans="1:32">
      <c r="A66" t="s">
        <v>509</v>
      </c>
      <c r="G66" s="2">
        <f t="shared" si="2"/>
        <v>217.92951953255195</v>
      </c>
      <c r="H66" s="2">
        <f t="shared" si="4"/>
        <v>44.607756663940144</v>
      </c>
      <c r="I66" s="2">
        <f t="shared" si="4"/>
        <v>133.39582397075733</v>
      </c>
      <c r="J66" s="2">
        <f t="shared" si="4"/>
        <v>219.97056784972216</v>
      </c>
      <c r="K66" s="2">
        <f t="shared" si="4"/>
        <v>302.62413415426892</v>
      </c>
      <c r="L66" s="2">
        <f t="shared" si="4"/>
        <v>380.2351312927849</v>
      </c>
      <c r="M66" s="2">
        <f t="shared" si="4"/>
        <v>451.13757841429788</v>
      </c>
      <c r="N66" s="2">
        <f t="shared" si="4"/>
        <v>514.51961710846979</v>
      </c>
      <c r="O66" s="2">
        <f t="shared" si="4"/>
        <v>568.83890288496889</v>
      </c>
      <c r="P66" s="2">
        <f t="shared" si="4"/>
        <v>613.57954785965887</v>
      </c>
      <c r="Q66" s="2">
        <f t="shared" si="4"/>
        <v>647.86850187986806</v>
      </c>
      <c r="R66" s="2">
        <f t="shared" si="4"/>
        <v>670.85756111047397</v>
      </c>
      <c r="S66" s="2">
        <f t="shared" si="4"/>
        <v>682.67334559203562</v>
      </c>
      <c r="T66" s="2">
        <f t="shared" si="4"/>
        <v>682.67334559203562</v>
      </c>
      <c r="U66" s="2">
        <f t="shared" si="4"/>
        <v>670.85756111047397</v>
      </c>
      <c r="V66" s="2">
        <f t="shared" si="4"/>
        <v>647.86850187986806</v>
      </c>
      <c r="W66" s="2">
        <f t="shared" si="4"/>
        <v>613.57954785965887</v>
      </c>
      <c r="X66" s="2">
        <f t="shared" si="4"/>
        <v>568.83890288496889</v>
      </c>
      <c r="Y66" s="2">
        <f t="shared" si="4"/>
        <v>514.51961710846979</v>
      </c>
      <c r="Z66" s="2">
        <f t="shared" si="4"/>
        <v>451.13757841429788</v>
      </c>
      <c r="AA66" s="2">
        <f t="shared" si="4"/>
        <v>380.2351312927849</v>
      </c>
      <c r="AB66" s="2">
        <f t="shared" si="4"/>
        <v>302.62413415426892</v>
      </c>
      <c r="AC66" s="2">
        <f t="shared" si="4"/>
        <v>219.97056784972216</v>
      </c>
      <c r="AD66" s="2">
        <f t="shared" si="4"/>
        <v>133.39582397075733</v>
      </c>
      <c r="AE66" s="2">
        <f t="shared" si="4"/>
        <v>44.607756663940144</v>
      </c>
      <c r="AF66" s="2"/>
    </row>
    <row r="67" spans="1:32">
      <c r="A67" t="s">
        <v>510</v>
      </c>
      <c r="G67" s="2">
        <f t="shared" si="2"/>
        <v>184.1470466962783</v>
      </c>
      <c r="H67" s="2">
        <f t="shared" si="4"/>
        <v>37.453394473334477</v>
      </c>
      <c r="I67" s="2">
        <f t="shared" si="4"/>
        <v>112.48550293278892</v>
      </c>
      <c r="J67" s="2">
        <f t="shared" si="4"/>
        <v>185.75956375912159</v>
      </c>
      <c r="K67" s="2">
        <f t="shared" si="4"/>
        <v>255.68152047116101</v>
      </c>
      <c r="L67" s="2">
        <f t="shared" si="4"/>
        <v>321.207366934851</v>
      </c>
      <c r="M67" s="2">
        <f t="shared" si="4"/>
        <v>381.1517230301892</v>
      </c>
      <c r="N67" s="2">
        <f t="shared" si="4"/>
        <v>434.66038844890574</v>
      </c>
      <c r="O67" s="2">
        <f t="shared" si="4"/>
        <v>480.74419486819488</v>
      </c>
      <c r="P67" s="2">
        <f t="shared" si="4"/>
        <v>518.71657007614999</v>
      </c>
      <c r="Q67" s="2">
        <f t="shared" si="4"/>
        <v>547.49575095305079</v>
      </c>
      <c r="R67" s="2">
        <f t="shared" si="4"/>
        <v>567.10275855852819</v>
      </c>
      <c r="S67" s="2">
        <f t="shared" si="4"/>
        <v>577.0703862044046</v>
      </c>
      <c r="T67" s="2">
        <f t="shared" si="4"/>
        <v>577.0703862044046</v>
      </c>
      <c r="U67" s="2">
        <f t="shared" si="4"/>
        <v>567.10275855852819</v>
      </c>
      <c r="V67" s="2">
        <f t="shared" si="4"/>
        <v>547.49575095305079</v>
      </c>
      <c r="W67" s="2">
        <f t="shared" si="4"/>
        <v>518.71657007614999</v>
      </c>
      <c r="X67" s="2">
        <f t="shared" si="4"/>
        <v>480.74419486819488</v>
      </c>
      <c r="Y67" s="2">
        <f t="shared" si="4"/>
        <v>434.66038844890574</v>
      </c>
      <c r="Z67" s="2">
        <f t="shared" si="4"/>
        <v>381.1517230301892</v>
      </c>
      <c r="AA67" s="2">
        <f t="shared" si="4"/>
        <v>321.207366934851</v>
      </c>
      <c r="AB67" s="2">
        <f t="shared" si="4"/>
        <v>255.68152047116101</v>
      </c>
      <c r="AC67" s="2">
        <f t="shared" si="4"/>
        <v>185.75956375912159</v>
      </c>
      <c r="AD67" s="2">
        <f t="shared" si="4"/>
        <v>112.48550293278892</v>
      </c>
      <c r="AE67" s="2">
        <f t="shared" si="4"/>
        <v>37.453394473334477</v>
      </c>
      <c r="AF67" s="2"/>
    </row>
    <row r="68" spans="1:32">
      <c r="A68" t="s">
        <v>511</v>
      </c>
      <c r="G68" s="2">
        <f t="shared" si="2"/>
        <v>148.9983363303335</v>
      </c>
      <c r="H68" s="2">
        <f t="shared" si="4"/>
        <v>30.059477118454481</v>
      </c>
      <c r="I68" s="2">
        <f t="shared" si="4"/>
        <v>90.834482434472207</v>
      </c>
      <c r="J68" s="2">
        <f t="shared" si="4"/>
        <v>150.00680326145888</v>
      </c>
      <c r="K68" s="2">
        <f t="shared" si="4"/>
        <v>206.77354127794865</v>
      </c>
      <c r="L68" s="2">
        <f t="shared" si="4"/>
        <v>259.89902118134938</v>
      </c>
      <c r="M68" s="2">
        <f t="shared" si="4"/>
        <v>308.43790248261479</v>
      </c>
      <c r="N68" s="2">
        <f t="shared" si="4"/>
        <v>351.73108718254247</v>
      </c>
      <c r="O68" s="2">
        <f t="shared" si="4"/>
        <v>389.16392733425664</v>
      </c>
      <c r="P68" s="2">
        <f t="shared" si="4"/>
        <v>419.70239577102939</v>
      </c>
      <c r="Q68" s="2">
        <f t="shared" si="4"/>
        <v>443.24653009656163</v>
      </c>
      <c r="R68" s="2">
        <f t="shared" si="4"/>
        <v>459.01179229965777</v>
      </c>
      <c r="S68" s="2">
        <f t="shared" si="4"/>
        <v>467.09311148765767</v>
      </c>
      <c r="T68" s="2">
        <f t="shared" si="4"/>
        <v>467.09311148765767</v>
      </c>
      <c r="U68" s="2">
        <f t="shared" si="4"/>
        <v>459.01179229965777</v>
      </c>
      <c r="V68" s="2">
        <f t="shared" si="4"/>
        <v>443.24653009656163</v>
      </c>
      <c r="W68" s="2">
        <f t="shared" si="4"/>
        <v>419.70239577102939</v>
      </c>
      <c r="X68" s="2">
        <f t="shared" si="4"/>
        <v>389.16392733425664</v>
      </c>
      <c r="Y68" s="2">
        <f t="shared" si="4"/>
        <v>351.73108718254247</v>
      </c>
      <c r="Z68" s="2">
        <f t="shared" si="4"/>
        <v>308.43790248261479</v>
      </c>
      <c r="AA68" s="2">
        <f t="shared" si="4"/>
        <v>259.89902118134938</v>
      </c>
      <c r="AB68" s="2">
        <f t="shared" si="4"/>
        <v>206.77354127794865</v>
      </c>
      <c r="AC68" s="2">
        <f t="shared" si="4"/>
        <v>150.00680326145888</v>
      </c>
      <c r="AD68" s="2">
        <f t="shared" si="4"/>
        <v>90.834482434472207</v>
      </c>
      <c r="AE68" s="2">
        <f t="shared" si="4"/>
        <v>30.059477118454481</v>
      </c>
      <c r="AF68" s="2"/>
    </row>
    <row r="69" spans="1:32">
      <c r="A69" t="s">
        <v>512</v>
      </c>
      <c r="G69" s="2">
        <f t="shared" si="2"/>
        <v>112.65642671503603</v>
      </c>
      <c r="H69" s="2">
        <f t="shared" si="4"/>
        <v>22.187571014002408</v>
      </c>
      <c r="I69" s="2">
        <f t="shared" si="4"/>
        <v>68.44569674320401</v>
      </c>
      <c r="J69" s="2">
        <f t="shared" si="4"/>
        <v>113.19881966918334</v>
      </c>
      <c r="K69" s="2">
        <f t="shared" si="4"/>
        <v>156.17102515167278</v>
      </c>
      <c r="L69" s="2">
        <f t="shared" si="4"/>
        <v>196.39052874239931</v>
      </c>
      <c r="M69" s="2">
        <f t="shared" si="4"/>
        <v>233.14658123534468</v>
      </c>
      <c r="N69" s="2">
        <f t="shared" si="4"/>
        <v>265.98642726339813</v>
      </c>
      <c r="O69" s="2">
        <f t="shared" si="4"/>
        <v>294.24221445440293</v>
      </c>
      <c r="P69" s="2">
        <f t="shared" si="4"/>
        <v>317.49561422025221</v>
      </c>
      <c r="Q69" s="2">
        <f t="shared" si="4"/>
        <v>335.33519649632308</v>
      </c>
      <c r="R69" s="2">
        <f t="shared" si="4"/>
        <v>347.57939377373737</v>
      </c>
      <c r="S69" s="2">
        <f t="shared" si="4"/>
        <v>353.57517239694448</v>
      </c>
      <c r="T69" s="2">
        <f t="shared" si="4"/>
        <v>353.57517239694448</v>
      </c>
      <c r="U69" s="2">
        <f t="shared" si="4"/>
        <v>347.57939377373737</v>
      </c>
      <c r="V69" s="2">
        <f t="shared" si="4"/>
        <v>335.33519649632308</v>
      </c>
      <c r="W69" s="2">
        <f t="shared" si="4"/>
        <v>317.49561422025221</v>
      </c>
      <c r="X69" s="2">
        <f t="shared" si="4"/>
        <v>294.24221445440293</v>
      </c>
      <c r="Y69" s="2">
        <f t="shared" si="4"/>
        <v>265.98642726339813</v>
      </c>
      <c r="Z69" s="2">
        <f t="shared" si="4"/>
        <v>233.14658123534468</v>
      </c>
      <c r="AA69" s="2">
        <f t="shared" si="4"/>
        <v>196.39052874239931</v>
      </c>
      <c r="AB69" s="2">
        <f t="shared" si="4"/>
        <v>156.17102515167278</v>
      </c>
      <c r="AC69" s="2">
        <f t="shared" si="4"/>
        <v>113.19881966918334</v>
      </c>
      <c r="AD69" s="2">
        <f t="shared" si="4"/>
        <v>68.44569674320401</v>
      </c>
      <c r="AE69" s="2">
        <f t="shared" si="4"/>
        <v>22.187571014002408</v>
      </c>
      <c r="AF69" s="2"/>
    </row>
    <row r="70" spans="1:32">
      <c r="A70" t="s">
        <v>513</v>
      </c>
      <c r="G70" s="2">
        <f t="shared" si="2"/>
        <v>75.494746664323955</v>
      </c>
      <c r="H70" s="2">
        <f t="shared" si="4"/>
        <v>14.314928886907998</v>
      </c>
      <c r="I70" s="2">
        <f t="shared" si="4"/>
        <v>45.323128857115414</v>
      </c>
      <c r="J70" s="2">
        <f t="shared" si="4"/>
        <v>75.593343409821259</v>
      </c>
      <c r="K70" s="2">
        <f t="shared" si="4"/>
        <v>104.39913839929589</v>
      </c>
      <c r="L70" s="2">
        <f t="shared" si="4"/>
        <v>131.49611191081414</v>
      </c>
      <c r="M70" s="2">
        <f t="shared" si="4"/>
        <v>156.17102515167278</v>
      </c>
      <c r="N70" s="2">
        <f t="shared" si="4"/>
        <v>178.4293047648105</v>
      </c>
      <c r="O70" s="2">
        <f t="shared" si="4"/>
        <v>197.33492676833038</v>
      </c>
      <c r="P70" s="2">
        <f t="shared" si="4"/>
        <v>213.13893709002286</v>
      </c>
      <c r="Q70" s="2">
        <f t="shared" si="4"/>
        <v>225.14943459894513</v>
      </c>
      <c r="R70" s="2">
        <f t="shared" si="4"/>
        <v>233.14658123534468</v>
      </c>
      <c r="S70" s="2">
        <f t="shared" si="4"/>
        <v>237.37705887069376</v>
      </c>
      <c r="T70" s="2">
        <f t="shared" si="4"/>
        <v>237.37705887069376</v>
      </c>
      <c r="U70" s="2">
        <f t="shared" si="4"/>
        <v>233.14658123534468</v>
      </c>
      <c r="V70" s="2">
        <f t="shared" si="4"/>
        <v>225.14943459894513</v>
      </c>
      <c r="W70" s="2">
        <f t="shared" si="4"/>
        <v>213.13893709002286</v>
      </c>
      <c r="X70" s="2">
        <f t="shared" si="4"/>
        <v>197.33492676833038</v>
      </c>
      <c r="Y70" s="2">
        <f t="shared" si="4"/>
        <v>178.4293047648105</v>
      </c>
      <c r="Z70" s="2">
        <f t="shared" si="4"/>
        <v>156.17102515167278</v>
      </c>
      <c r="AA70" s="2">
        <f t="shared" si="4"/>
        <v>131.49611191081414</v>
      </c>
      <c r="AB70" s="2">
        <f t="shared" si="4"/>
        <v>104.39913839929589</v>
      </c>
      <c r="AC70" s="2">
        <f t="shared" si="4"/>
        <v>75.593343409821259</v>
      </c>
      <c r="AD70" s="2">
        <f t="shared" si="4"/>
        <v>45.323128857115414</v>
      </c>
      <c r="AE70" s="2">
        <f t="shared" si="4"/>
        <v>14.314928886907998</v>
      </c>
      <c r="AF70" s="2"/>
    </row>
    <row r="71" spans="1:32">
      <c r="A71" t="s">
        <v>514</v>
      </c>
      <c r="G71" s="2">
        <f t="shared" si="2"/>
        <v>37.763934013669378</v>
      </c>
      <c r="H71" s="2">
        <f t="shared" si="4"/>
        <v>6.441811894323469</v>
      </c>
      <c r="I71" s="2">
        <f t="shared" si="4"/>
        <v>21.949015597270865</v>
      </c>
      <c r="J71" s="2">
        <f t="shared" si="4"/>
        <v>37.214896961261807</v>
      </c>
      <c r="K71" s="2">
        <f t="shared" si="4"/>
        <v>51.999310534199267</v>
      </c>
      <c r="L71" s="2">
        <f t="shared" si="4"/>
        <v>65.586101688677175</v>
      </c>
      <c r="M71" s="2">
        <f t="shared" si="4"/>
        <v>78.213638292206937</v>
      </c>
      <c r="N71" s="2">
        <f t="shared" si="4"/>
        <v>89.406077657605564</v>
      </c>
      <c r="O71" s="2">
        <f t="shared" si="4"/>
        <v>98.926848606676415</v>
      </c>
      <c r="P71" s="2">
        <f t="shared" si="4"/>
        <v>107.01573120144074</v>
      </c>
      <c r="Q71" s="2">
        <f t="shared" si="4"/>
        <v>112.96105086229458</v>
      </c>
      <c r="R71" s="2">
        <f t="shared" si="4"/>
        <v>117.2403558968505</v>
      </c>
      <c r="S71" s="2">
        <f t="shared" si="4"/>
        <v>119.37957713525773</v>
      </c>
      <c r="T71" s="2">
        <f t="shared" si="4"/>
        <v>119.37957713525773</v>
      </c>
      <c r="U71" s="2">
        <f t="shared" si="4"/>
        <v>117.2403558968505</v>
      </c>
      <c r="V71" s="2">
        <f t="shared" si="4"/>
        <v>112.96105086229458</v>
      </c>
      <c r="W71" s="2">
        <f t="shared" si="4"/>
        <v>107.01573120144074</v>
      </c>
      <c r="X71" s="2">
        <f t="shared" si="4"/>
        <v>98.926848606676415</v>
      </c>
      <c r="Y71" s="2">
        <f t="shared" si="4"/>
        <v>89.406077657605564</v>
      </c>
      <c r="Z71" s="2">
        <f t="shared" si="4"/>
        <v>78.213638292206937</v>
      </c>
      <c r="AA71" s="2">
        <f t="shared" si="4"/>
        <v>65.586101688677175</v>
      </c>
      <c r="AB71" s="2">
        <f t="shared" si="4"/>
        <v>51.999310534199267</v>
      </c>
      <c r="AC71" s="2">
        <f t="shared" si="4"/>
        <v>37.214896961261807</v>
      </c>
      <c r="AD71" s="2">
        <f t="shared" si="4"/>
        <v>21.949015597270865</v>
      </c>
      <c r="AE71" s="2">
        <f t="shared" si="4"/>
        <v>6.441811894323469</v>
      </c>
      <c r="AF71" s="2"/>
    </row>
    <row r="72" spans="1:32"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>
      <c r="A73" s="3" t="s">
        <v>746</v>
      </c>
      <c r="C73" s="3" t="s">
        <v>748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>
      <c r="C74" s="3" t="s">
        <v>749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>
      <c r="C75" s="3" t="s">
        <v>750</v>
      </c>
      <c r="G75" s="2"/>
      <c r="H75" s="2"/>
      <c r="I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>
      <c r="C76" t="s">
        <v>751</v>
      </c>
      <c r="G76" s="2"/>
      <c r="H76" s="2"/>
      <c r="I76" s="2"/>
      <c r="J76" s="12"/>
      <c r="K76" s="58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>
      <c r="A77" s="3" t="s">
        <v>714</v>
      </c>
      <c r="C77" s="3"/>
      <c r="G77" s="2"/>
      <c r="H77" s="2"/>
      <c r="I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>
      <c r="I78" s="2"/>
      <c r="K78" s="12"/>
      <c r="L78" s="58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>
      <c r="A79" t="s">
        <v>752</v>
      </c>
      <c r="C79" s="3"/>
      <c r="G79" s="2"/>
      <c r="H79" s="2"/>
      <c r="I79" s="2"/>
      <c r="K79" s="2"/>
      <c r="L79" s="2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>
      <c r="B80" t="s">
        <v>753</v>
      </c>
      <c r="I80" s="2"/>
      <c r="K80" s="2"/>
      <c r="L80" s="2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>
      <c r="B81" t="s">
        <v>754</v>
      </c>
      <c r="C81" s="3"/>
      <c r="G81" s="2"/>
      <c r="H81" s="2"/>
      <c r="I81" s="2"/>
      <c r="K81" s="2"/>
      <c r="L81" s="2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>
      <c r="A82" t="s">
        <v>578</v>
      </c>
      <c r="C82" s="3"/>
      <c r="G82" s="2"/>
      <c r="H82" s="2"/>
      <c r="I82" s="2"/>
      <c r="K82" s="2"/>
      <c r="L82" s="2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>
      <c r="B83" t="s">
        <v>577</v>
      </c>
      <c r="C83" s="3"/>
      <c r="G83" s="2"/>
      <c r="H83" s="2"/>
      <c r="I83" s="2"/>
      <c r="K83" s="2"/>
      <c r="L83" s="2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>
      <c r="B84" t="s">
        <v>579</v>
      </c>
      <c r="C84" s="3"/>
      <c r="G84" s="2"/>
      <c r="H84" s="2"/>
      <c r="I84" s="2"/>
      <c r="K84" s="2"/>
      <c r="L84" s="2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>
      <c r="A85" t="s">
        <v>709</v>
      </c>
      <c r="C85" s="3"/>
      <c r="G85" s="2"/>
      <c r="H85" s="2"/>
      <c r="I85" s="2"/>
      <c r="K85" s="2"/>
      <c r="L85" s="2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8.75">
      <c r="A86" t="s">
        <v>708</v>
      </c>
      <c r="C86" s="3"/>
      <c r="G86" s="2"/>
      <c r="H86" s="2"/>
      <c r="I86" s="2"/>
      <c r="K86" s="2"/>
      <c r="L86" s="21"/>
      <c r="M86" s="2"/>
      <c r="N86" s="2"/>
      <c r="O86" s="2"/>
      <c r="P86" s="2"/>
      <c r="Q86" s="2"/>
      <c r="S86" s="4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8.75">
      <c r="B87" t="s">
        <v>580</v>
      </c>
      <c r="C87" s="3"/>
      <c r="F87" s="16">
        <f ca="1">Tabelle1!F33</f>
        <v>0.3</v>
      </c>
      <c r="G87" s="2"/>
      <c r="H87" s="2" t="s">
        <v>595</v>
      </c>
      <c r="I87" s="2"/>
      <c r="K87" s="2"/>
      <c r="L87" s="21"/>
      <c r="M87" s="2"/>
      <c r="N87" s="2"/>
      <c r="O87" s="2"/>
      <c r="P87" s="2"/>
      <c r="Q87" s="2"/>
      <c r="R87" s="41"/>
      <c r="S87" s="4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8.75">
      <c r="B88" t="s">
        <v>581</v>
      </c>
      <c r="C88" s="3"/>
      <c r="F88" s="16">
        <f ca="1">Tabelle1!F34</f>
        <v>0.2</v>
      </c>
      <c r="G88" s="2"/>
      <c r="H88" s="2" t="s">
        <v>596</v>
      </c>
      <c r="I88" s="2"/>
      <c r="K88" s="2"/>
      <c r="L88" s="21"/>
      <c r="M88" s="2"/>
      <c r="N88" s="2"/>
      <c r="O88" s="2"/>
      <c r="P88" s="2"/>
      <c r="Q88" s="2"/>
      <c r="R88" s="42"/>
      <c r="S88" s="41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>
      <c r="B89" t="s">
        <v>710</v>
      </c>
      <c r="C89" s="3"/>
      <c r="F89" s="16">
        <f ca="1">Tabelle1!F35</f>
        <v>0.25</v>
      </c>
      <c r="G89" s="2"/>
      <c r="H89" s="2" t="s">
        <v>711</v>
      </c>
      <c r="I89" s="2"/>
      <c r="K89" s="2"/>
      <c r="L89" s="21"/>
      <c r="M89" s="2"/>
      <c r="N89" s="2"/>
      <c r="O89" s="2"/>
      <c r="P89" s="2"/>
      <c r="Q89" s="2"/>
      <c r="R89" s="2"/>
      <c r="S89" s="2"/>
      <c r="T89" s="8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>
      <c r="I90" s="2"/>
      <c r="K90" s="2"/>
      <c r="L90" s="21"/>
      <c r="M90" s="2"/>
      <c r="N90" s="2"/>
      <c r="O90" s="2"/>
      <c r="P90" s="2"/>
      <c r="Q90" s="2"/>
      <c r="R90" s="2"/>
      <c r="S90" s="2"/>
      <c r="T90" s="8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>
      <c r="A91" s="66" t="s">
        <v>582</v>
      </c>
      <c r="B91" s="44"/>
      <c r="C91" s="3"/>
      <c r="E91" s="66" t="s">
        <v>267</v>
      </c>
      <c r="F91" s="44"/>
      <c r="G91" s="52"/>
      <c r="H91" s="44"/>
      <c r="I91" s="52"/>
      <c r="J91" s="44"/>
      <c r="K91" s="2"/>
      <c r="L91" s="21"/>
      <c r="N91" s="2"/>
      <c r="O91" s="2"/>
      <c r="P91" s="2"/>
      <c r="Q91" s="2"/>
      <c r="R91" s="2"/>
      <c r="S91" s="2"/>
      <c r="T91" s="8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>
      <c r="A92" s="44"/>
      <c r="B92" s="59" t="s">
        <v>760</v>
      </c>
      <c r="C92" s="3"/>
      <c r="E92" s="44"/>
      <c r="F92" s="66" t="s">
        <v>763</v>
      </c>
      <c r="G92" s="52"/>
      <c r="H92" s="52"/>
      <c r="I92" s="52"/>
      <c r="J92" s="44"/>
      <c r="K92" s="2"/>
      <c r="L92" s="21"/>
      <c r="N92" s="2"/>
      <c r="O92" s="2"/>
      <c r="P92" s="2"/>
      <c r="Q92" s="2"/>
      <c r="R92" s="2"/>
      <c r="S92" s="2"/>
      <c r="T92" s="8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>
      <c r="C93" s="3"/>
      <c r="E93" s="44"/>
      <c r="F93" s="44"/>
      <c r="G93" s="66" t="s">
        <v>268</v>
      </c>
      <c r="H93" s="44"/>
      <c r="I93" s="52"/>
      <c r="J93" s="44"/>
      <c r="K93" s="2"/>
      <c r="L93" s="21"/>
      <c r="M93" s="2"/>
      <c r="N93" s="2"/>
      <c r="O93" s="2"/>
      <c r="P93" s="2"/>
      <c r="Q93" s="2"/>
      <c r="R93" s="2"/>
      <c r="S93" s="2"/>
      <c r="T93" s="8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>
      <c r="C94" s="3"/>
      <c r="E94" s="44"/>
      <c r="F94" s="44"/>
      <c r="G94" s="44"/>
      <c r="H94" s="66" t="s">
        <v>765</v>
      </c>
      <c r="I94" s="52"/>
      <c r="J94" s="44"/>
      <c r="K94" s="2"/>
      <c r="L94" s="21"/>
      <c r="M94" s="2"/>
      <c r="N94" s="2"/>
      <c r="O94" s="2"/>
      <c r="P94" s="2"/>
      <c r="Q94" s="2"/>
      <c r="R94" s="2"/>
      <c r="S94" s="2"/>
      <c r="T94" s="8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>
      <c r="C95" s="3"/>
      <c r="E95" s="44"/>
      <c r="F95" s="44"/>
      <c r="G95" s="52"/>
      <c r="H95" s="52"/>
      <c r="I95" s="66" t="s">
        <v>269</v>
      </c>
      <c r="J95" s="44"/>
      <c r="K95" s="2"/>
      <c r="L95" s="21"/>
      <c r="M95" s="2"/>
      <c r="N95" s="2"/>
      <c r="O95" s="2"/>
      <c r="P95" s="2"/>
      <c r="Q95" s="2"/>
      <c r="R95" s="2"/>
      <c r="S95" s="2"/>
      <c r="T95" s="8"/>
      <c r="AD95" s="2"/>
      <c r="AE95" s="2"/>
      <c r="AF95" s="2"/>
    </row>
    <row r="96" spans="1:32">
      <c r="A96" t="s">
        <v>759</v>
      </c>
      <c r="C96" s="48" t="s">
        <v>608</v>
      </c>
      <c r="D96" s="34" t="s">
        <v>583</v>
      </c>
      <c r="E96" s="44"/>
      <c r="F96" s="44"/>
      <c r="G96" s="44"/>
      <c r="H96" s="44"/>
      <c r="I96" s="44"/>
      <c r="J96" s="66" t="s">
        <v>766</v>
      </c>
      <c r="K96" s="2"/>
      <c r="L96" s="21"/>
      <c r="M96" s="2"/>
      <c r="N96" s="2"/>
      <c r="O96" s="2"/>
      <c r="P96" s="2"/>
      <c r="Q96" s="2"/>
      <c r="R96" s="2"/>
      <c r="S96" s="2"/>
      <c r="T96" s="8"/>
      <c r="AD96" s="2"/>
      <c r="AE96" s="2"/>
      <c r="AF96" s="2"/>
    </row>
    <row r="97" spans="1:32">
      <c r="A97">
        <f>0.0836688</f>
        <v>8.3668800000000002E-2</v>
      </c>
      <c r="C97" s="37">
        <f t="shared" ref="C97:C114" si="5">$A$97*COS($D97*PI()/180)</f>
        <v>8.3668800000000002E-2</v>
      </c>
      <c r="D97" s="35">
        <v>0</v>
      </c>
      <c r="E97" s="81" t="s">
        <v>713</v>
      </c>
      <c r="F97" s="81" t="s">
        <v>713</v>
      </c>
      <c r="G97" s="81" t="s">
        <v>713</v>
      </c>
      <c r="H97" s="81" t="s">
        <v>713</v>
      </c>
      <c r="I97" s="81" t="s">
        <v>713</v>
      </c>
      <c r="J97" s="81" t="s">
        <v>713</v>
      </c>
      <c r="K97" s="2"/>
      <c r="L97" s="21"/>
      <c r="M97" s="2"/>
      <c r="N97" s="2"/>
      <c r="O97" s="2"/>
      <c r="P97" s="2"/>
      <c r="Q97" s="2"/>
      <c r="R97" s="2"/>
      <c r="S97" s="2"/>
      <c r="T97" s="8"/>
      <c r="AD97" s="2"/>
      <c r="AE97" s="2"/>
      <c r="AF97" s="2"/>
    </row>
    <row r="98" spans="1:32">
      <c r="C98" s="37">
        <f t="shared" si="5"/>
        <v>8.3350414955698643E-2</v>
      </c>
      <c r="D98" s="35">
        <v>5</v>
      </c>
      <c r="E98" s="81" t="s">
        <v>713</v>
      </c>
      <c r="F98" s="81" t="s">
        <v>713</v>
      </c>
      <c r="G98" s="81" t="s">
        <v>713</v>
      </c>
      <c r="H98" s="81" t="s">
        <v>713</v>
      </c>
      <c r="I98" s="81" t="s">
        <v>713</v>
      </c>
      <c r="J98" s="81" t="s">
        <v>713</v>
      </c>
      <c r="K98" s="2"/>
      <c r="L98" s="21"/>
      <c r="N98" s="2"/>
      <c r="O98" s="2"/>
      <c r="P98" s="2"/>
      <c r="Q98" s="2"/>
      <c r="R98" s="2"/>
      <c r="S98" s="2"/>
      <c r="T98" s="8"/>
      <c r="U98" s="2"/>
      <c r="AD98" s="2"/>
      <c r="AE98" s="2"/>
      <c r="AF98" s="2"/>
    </row>
    <row r="99" spans="1:32" ht="18.75">
      <c r="A99" t="s">
        <v>755</v>
      </c>
      <c r="C99" s="37">
        <f t="shared" si="5"/>
        <v>8.2397682925227839E-2</v>
      </c>
      <c r="D99" s="35">
        <v>10</v>
      </c>
      <c r="E99" s="81" t="s">
        <v>713</v>
      </c>
      <c r="F99" s="81" t="s">
        <v>713</v>
      </c>
      <c r="G99" s="81" t="s">
        <v>713</v>
      </c>
      <c r="H99" s="81" t="s">
        <v>713</v>
      </c>
      <c r="I99" s="81" t="s">
        <v>713</v>
      </c>
      <c r="J99" s="81" t="s">
        <v>713</v>
      </c>
      <c r="K99" s="2"/>
      <c r="L99" s="41" t="s">
        <v>587</v>
      </c>
      <c r="N99" s="2"/>
      <c r="O99" s="2"/>
      <c r="P99" s="2"/>
      <c r="Q99" s="2"/>
      <c r="R99" s="2"/>
      <c r="S99" s="2"/>
      <c r="T99" s="8"/>
      <c r="U99" s="2"/>
      <c r="Z99" s="16" t="s">
        <v>798</v>
      </c>
      <c r="AD99" s="2"/>
      <c r="AE99" s="2"/>
      <c r="AF99" s="2"/>
    </row>
    <row r="100" spans="1:32">
      <c r="A100" t="s">
        <v>756</v>
      </c>
      <c r="C100" s="37">
        <f t="shared" si="5"/>
        <v>8.0817854774614797E-2</v>
      </c>
      <c r="D100" s="35">
        <v>15</v>
      </c>
      <c r="E100" s="81" t="s">
        <v>713</v>
      </c>
      <c r="F100" s="81" t="s">
        <v>713</v>
      </c>
      <c r="G100" s="81" t="s">
        <v>713</v>
      </c>
      <c r="H100" s="81" t="s">
        <v>713</v>
      </c>
      <c r="I100" s="81" t="s">
        <v>713</v>
      </c>
      <c r="J100" s="81" t="s">
        <v>713</v>
      </c>
      <c r="K100" s="2"/>
      <c r="L100" s="2" t="s">
        <v>784</v>
      </c>
      <c r="N100" s="2"/>
      <c r="O100" s="2"/>
      <c r="P100" s="2"/>
      <c r="Q100" s="2"/>
      <c r="R100" s="2"/>
      <c r="S100" s="32" t="s">
        <v>270</v>
      </c>
      <c r="T100" s="8"/>
      <c r="U100" s="2"/>
      <c r="V100" s="32">
        <f>L115+M115+N115</f>
        <v>0.73347521001127025</v>
      </c>
      <c r="W100" s="32" t="s">
        <v>479</v>
      </c>
      <c r="X100" s="5" t="s">
        <v>795</v>
      </c>
      <c r="Z100" s="32">
        <f>V100*$W$111</f>
        <v>0.13936028990214136</v>
      </c>
      <c r="AA100" s="16" t="s">
        <v>497</v>
      </c>
      <c r="AD100" s="2"/>
      <c r="AE100" s="2"/>
      <c r="AF100" s="2"/>
    </row>
    <row r="101" spans="1:32">
      <c r="A101" t="s">
        <v>757</v>
      </c>
      <c r="C101" s="37">
        <f t="shared" si="5"/>
        <v>7.8622953950012023E-2</v>
      </c>
      <c r="D101" s="35">
        <v>20</v>
      </c>
      <c r="E101" s="81" t="s">
        <v>713</v>
      </c>
      <c r="F101" s="81" t="s">
        <v>713</v>
      </c>
      <c r="G101" s="81" t="s">
        <v>713</v>
      </c>
      <c r="H101" s="81" t="s">
        <v>713</v>
      </c>
      <c r="I101" s="81" t="s">
        <v>713</v>
      </c>
      <c r="J101" s="81" t="s">
        <v>713</v>
      </c>
      <c r="K101" s="2"/>
      <c r="L101" s="2" t="s">
        <v>271</v>
      </c>
      <c r="N101" s="2"/>
      <c r="O101" s="2" t="s">
        <v>786</v>
      </c>
      <c r="P101" s="2"/>
      <c r="Q101" s="2"/>
      <c r="R101" s="2"/>
      <c r="S101" s="32" t="s">
        <v>794</v>
      </c>
      <c r="T101" s="8"/>
      <c r="U101" s="2"/>
      <c r="V101" s="32">
        <f>O115+P115+Q115</f>
        <v>3.3261821481477769</v>
      </c>
      <c r="W101" s="32" t="s">
        <v>479</v>
      </c>
      <c r="X101" s="5" t="s">
        <v>796</v>
      </c>
      <c r="Z101" s="32">
        <f>V101*$W$111</f>
        <v>0.6319746081480776</v>
      </c>
      <c r="AA101" s="16" t="s">
        <v>497</v>
      </c>
      <c r="AD101" s="2"/>
      <c r="AE101" s="2"/>
      <c r="AF101" s="2"/>
    </row>
    <row r="102" spans="1:32">
      <c r="A102" t="s">
        <v>758</v>
      </c>
      <c r="C102" s="37">
        <f t="shared" si="5"/>
        <v>7.5829684972012062E-2</v>
      </c>
      <c r="D102" s="35">
        <v>25</v>
      </c>
      <c r="E102" s="81" t="s">
        <v>713</v>
      </c>
      <c r="F102" s="81" t="s">
        <v>713</v>
      </c>
      <c r="G102" s="81" t="s">
        <v>713</v>
      </c>
      <c r="H102" s="81" t="s">
        <v>713</v>
      </c>
      <c r="I102" s="81" t="s">
        <v>713</v>
      </c>
      <c r="J102" s="81" t="s">
        <v>713</v>
      </c>
      <c r="K102" s="2"/>
      <c r="L102" s="21" t="s">
        <v>778</v>
      </c>
      <c r="M102" s="21" t="s">
        <v>779</v>
      </c>
      <c r="N102" s="21" t="s">
        <v>780</v>
      </c>
      <c r="O102" s="21" t="s">
        <v>781</v>
      </c>
      <c r="P102" s="21" t="s">
        <v>782</v>
      </c>
      <c r="Q102" s="21" t="s">
        <v>783</v>
      </c>
      <c r="R102" s="2"/>
      <c r="S102" s="2"/>
      <c r="T102" s="8"/>
      <c r="U102" s="2"/>
      <c r="AD102" s="2"/>
      <c r="AE102" s="2"/>
      <c r="AF102" s="2"/>
    </row>
    <row r="103" spans="1:32">
      <c r="C103" s="37">
        <f t="shared" si="5"/>
        <v>7.2459306304159449E-2</v>
      </c>
      <c r="D103" s="35">
        <v>30</v>
      </c>
      <c r="E103" s="81" t="s">
        <v>713</v>
      </c>
      <c r="F103" s="81" t="s">
        <v>713</v>
      </c>
      <c r="G103" s="81" t="s">
        <v>713</v>
      </c>
      <c r="H103" s="81" t="s">
        <v>713</v>
      </c>
      <c r="I103" s="81" t="s">
        <v>713</v>
      </c>
      <c r="J103" s="81" t="s">
        <v>713</v>
      </c>
      <c r="K103" s="2"/>
      <c r="L103" s="94" t="s">
        <v>787</v>
      </c>
      <c r="N103" s="2"/>
      <c r="O103" s="94" t="s">
        <v>790</v>
      </c>
      <c r="Q103" s="2"/>
      <c r="R103" s="2"/>
      <c r="S103" s="2"/>
      <c r="T103" s="8"/>
      <c r="U103" s="2"/>
      <c r="AD103" s="2"/>
      <c r="AE103" s="2"/>
      <c r="AF103" s="2"/>
    </row>
    <row r="104" spans="1:32">
      <c r="C104" s="37">
        <f t="shared" si="5"/>
        <v>6.8537468563206805E-2</v>
      </c>
      <c r="D104" s="35">
        <v>35</v>
      </c>
      <c r="E104" s="81" t="s">
        <v>713</v>
      </c>
      <c r="F104" s="81" t="s">
        <v>713</v>
      </c>
      <c r="G104" s="81" t="s">
        <v>713</v>
      </c>
      <c r="H104" s="81" t="s">
        <v>713</v>
      </c>
      <c r="I104" s="81" t="s">
        <v>713</v>
      </c>
      <c r="J104" s="81" t="s">
        <v>713</v>
      </c>
      <c r="K104" s="29"/>
      <c r="M104" s="94" t="s">
        <v>788</v>
      </c>
      <c r="N104" s="2"/>
      <c r="P104" s="94" t="s">
        <v>791</v>
      </c>
      <c r="Q104" s="2"/>
      <c r="R104" s="2"/>
      <c r="S104" s="2"/>
      <c r="T104" s="32" t="s">
        <v>797</v>
      </c>
      <c r="U104" s="2"/>
      <c r="AD104" s="2"/>
      <c r="AE104" s="2"/>
      <c r="AF104" s="2"/>
    </row>
    <row r="105" spans="1:32">
      <c r="C105" s="37">
        <f t="shared" si="5"/>
        <v>6.409401930243315E-2</v>
      </c>
      <c r="D105" s="35">
        <v>40</v>
      </c>
      <c r="E105" s="81" t="s">
        <v>713</v>
      </c>
      <c r="F105" s="81" t="s">
        <v>713</v>
      </c>
      <c r="G105" s="81" t="s">
        <v>713</v>
      </c>
      <c r="H105" s="81" t="s">
        <v>713</v>
      </c>
      <c r="I105" s="81" t="s">
        <v>713</v>
      </c>
      <c r="J105" s="81" t="s">
        <v>713</v>
      </c>
      <c r="K105" s="29"/>
      <c r="N105" s="94" t="s">
        <v>789</v>
      </c>
      <c r="Q105" s="94" t="s">
        <v>792</v>
      </c>
      <c r="R105" s="2"/>
      <c r="S105" s="2"/>
      <c r="T105" s="2" t="s">
        <v>588</v>
      </c>
      <c r="U105" s="2"/>
      <c r="AD105" s="2"/>
      <c r="AE105" s="2"/>
      <c r="AF105" s="2"/>
    </row>
    <row r="106" spans="1:32">
      <c r="C106" s="37">
        <f t="shared" si="5"/>
        <v>5.9162775853741009E-2</v>
      </c>
      <c r="D106" s="35">
        <v>45</v>
      </c>
      <c r="E106" s="62">
        <f ca="1">Tabelle2!$G$169</f>
        <v>2.3036514847403282</v>
      </c>
      <c r="F106" s="62">
        <f ca="1">$G$169</f>
        <v>10.094658890226015</v>
      </c>
      <c r="G106" s="62">
        <f ca="1">Tabelle2!$G$220</f>
        <v>4.4603549115606143</v>
      </c>
      <c r="H106" s="62">
        <f ca="1">$G$220</f>
        <v>20.22271455674678</v>
      </c>
      <c r="I106" s="62">
        <f ca="1">Tabelle2!$G$250</f>
        <v>5.035395487868243</v>
      </c>
      <c r="J106" s="62">
        <f>$G$250</f>
        <v>22.535423479839324</v>
      </c>
      <c r="K106" s="29"/>
      <c r="L106" s="27">
        <f>$F$87*$C106*E106</f>
        <v>4.0887124931048915E-2</v>
      </c>
      <c r="M106" s="27">
        <f>$F$88*$C106*G106</f>
        <v>5.2777395572158686E-2</v>
      </c>
      <c r="N106" s="27">
        <f>$F$89*$C106*I106</f>
        <v>7.4476993645921932E-2</v>
      </c>
      <c r="O106" s="27">
        <f>$F$87*$C106*F106</f>
        <v>0.17916841237272471</v>
      </c>
      <c r="P106" s="27">
        <f>$F$88*$C106*H106</f>
        <v>0.23928638569499905</v>
      </c>
      <c r="Q106" s="27">
        <f>$F$89*$C106*J106</f>
        <v>0.3333145520267165</v>
      </c>
      <c r="R106" s="55" t="s">
        <v>479</v>
      </c>
      <c r="S106" s="2"/>
      <c r="T106" s="2" t="s">
        <v>589</v>
      </c>
      <c r="U106" s="2"/>
      <c r="AD106" s="2"/>
      <c r="AE106" s="2"/>
      <c r="AF106" s="2"/>
    </row>
    <row r="107" spans="1:32">
      <c r="C107" s="37">
        <f t="shared" si="5"/>
        <v>5.3781267957341124E-2</v>
      </c>
      <c r="D107" s="35">
        <v>50</v>
      </c>
      <c r="E107" s="62">
        <f ca="1">Tabelle2!$G$290</f>
        <v>2.2859794131488798</v>
      </c>
      <c r="F107" s="62">
        <f ca="1">$G$290</f>
        <v>10.09678635224094</v>
      </c>
      <c r="G107" s="62">
        <f ca="1">Tabelle2!$G$334</f>
        <v>3.321871259387251</v>
      </c>
      <c r="H107" s="62">
        <f ca="1">$G$334</f>
        <v>15.196193141194328</v>
      </c>
      <c r="I107" s="62">
        <f ca="1">Tabelle2!$G$364</f>
        <v>3.385396657738454</v>
      </c>
      <c r="J107" s="62">
        <f>$G$364</f>
        <v>15.242746496249538</v>
      </c>
      <c r="K107" s="55"/>
      <c r="L107" s="27">
        <f t="shared" ref="L107:L114" si="6">$F$87*$C107*E107</f>
        <v>3.6882861409057589E-2</v>
      </c>
      <c r="M107" s="27">
        <f t="shared" ref="M107:M114" si="7">$F$88*$C107*G107</f>
        <v>3.5730889664179193E-2</v>
      </c>
      <c r="N107" s="27">
        <f t="shared" ref="N107:N114" si="8">$F$89*$C107*I107</f>
        <v>4.5517731197929713E-2</v>
      </c>
      <c r="O107" s="27">
        <f t="shared" ref="O107:O114" si="9">$F$87*$C107*F107</f>
        <v>0.16290539169536844</v>
      </c>
      <c r="P107" s="27">
        <f t="shared" ref="P107:P114" si="10">$F$88*$C107*H107</f>
        <v>0.16345410705161631</v>
      </c>
      <c r="Q107" s="27">
        <f t="shared" ref="Q107:Q114" si="11">$F$89*$C107*J107</f>
        <v>0.20494355843015474</v>
      </c>
      <c r="R107" s="55" t="s">
        <v>479</v>
      </c>
      <c r="T107" s="2" t="s">
        <v>590</v>
      </c>
      <c r="U107" s="2"/>
      <c r="AD107" s="2"/>
      <c r="AE107" s="2"/>
      <c r="AF107" s="2"/>
    </row>
    <row r="108" spans="1:32">
      <c r="C108" s="37">
        <f t="shared" si="5"/>
        <v>4.7990452137768411E-2</v>
      </c>
      <c r="D108" s="35">
        <v>55</v>
      </c>
      <c r="E108" s="62">
        <f ca="1">Tabelle2!$G$404</f>
        <v>1.7362438157575752</v>
      </c>
      <c r="F108" s="62">
        <f ca="1">$G$404</f>
        <v>7.6616714158992067</v>
      </c>
      <c r="G108" s="62">
        <f ca="1">Tabelle2!$G$448</f>
        <v>2.869182639401572</v>
      </c>
      <c r="H108" s="62">
        <f ca="1">$G$448</f>
        <v>13.188127718151293</v>
      </c>
      <c r="I108" s="62">
        <f ca="1">Tabelle2!$G$478</f>
        <v>3.3141844367573867</v>
      </c>
      <c r="J108" s="62">
        <f>$G$478</f>
        <v>14.944965287784726</v>
      </c>
      <c r="K108" s="2"/>
      <c r="L108" s="27">
        <f t="shared" si="6"/>
        <v>2.4996937721883092E-2</v>
      </c>
      <c r="M108" s="27">
        <f t="shared" si="7"/>
        <v>2.7538674426143439E-2</v>
      </c>
      <c r="N108" s="27">
        <f t="shared" si="8"/>
        <v>3.9762302396985583E-2</v>
      </c>
      <c r="O108" s="27">
        <f t="shared" si="9"/>
        <v>0.11030612261400576</v>
      </c>
      <c r="P108" s="27">
        <f t="shared" si="10"/>
        <v>0.12658084240894332</v>
      </c>
      <c r="Q108" s="27">
        <f t="shared" si="11"/>
        <v>0.17930391033601079</v>
      </c>
      <c r="R108" s="55" t="s">
        <v>479</v>
      </c>
      <c r="T108" s="2" t="s">
        <v>591</v>
      </c>
      <c r="U108" s="2"/>
      <c r="AD108" s="2"/>
      <c r="AE108" s="2"/>
      <c r="AF108" s="2"/>
    </row>
    <row r="109" spans="1:32">
      <c r="C109" s="37">
        <f t="shared" si="5"/>
        <v>4.1834400000000008E-2</v>
      </c>
      <c r="D109" s="35">
        <v>60</v>
      </c>
      <c r="E109" s="62">
        <f ca="1">Tabelle2!$G$518</f>
        <v>3.1010340823252704</v>
      </c>
      <c r="F109" s="62">
        <f ca="1">$G$518</f>
        <v>14.049317395715434</v>
      </c>
      <c r="G109" s="62">
        <f ca="1">Tabelle2!$G$562</f>
        <v>3.4244767891988772</v>
      </c>
      <c r="H109" s="62">
        <f ca="1">$G$562</f>
        <v>15.693670966098637</v>
      </c>
      <c r="I109" s="62">
        <f ca="1">Tabelle2!$G$592</f>
        <v>3.2388728284316244</v>
      </c>
      <c r="J109" s="62">
        <f>$G$592</f>
        <v>14.634759451301818</v>
      </c>
      <c r="K109" s="2"/>
      <c r="L109" s="27">
        <f t="shared" si="6"/>
        <v>3.8918970064088496E-2</v>
      </c>
      <c r="M109" s="27">
        <f t="shared" si="7"/>
        <v>2.8652186358012307E-2</v>
      </c>
      <c r="N109" s="27">
        <f t="shared" si="8"/>
        <v>3.3874075363434994E-2</v>
      </c>
      <c r="O109" s="27">
        <f t="shared" si="9"/>
        <v>0.17632342909779536</v>
      </c>
      <c r="P109" s="27">
        <f t="shared" si="10"/>
        <v>0.13130706173283138</v>
      </c>
      <c r="Q109" s="27">
        <f t="shared" si="11"/>
        <v>0.15305909519738523</v>
      </c>
      <c r="R109" s="55" t="s">
        <v>479</v>
      </c>
      <c r="S109" s="35"/>
      <c r="T109" s="2" t="s">
        <v>592</v>
      </c>
      <c r="U109" s="2"/>
      <c r="AD109" s="2"/>
      <c r="AE109" s="2"/>
      <c r="AF109" s="2"/>
    </row>
    <row r="110" spans="1:32">
      <c r="C110" s="37">
        <f t="shared" si="5"/>
        <v>3.5359962817930232E-2</v>
      </c>
      <c r="D110" s="35">
        <v>65</v>
      </c>
      <c r="E110" s="62">
        <f ca="1">Tabelle2!$G$632</f>
        <v>3.5052289939353614</v>
      </c>
      <c r="F110" s="62">
        <f ca="1">$G$632</f>
        <v>15.959915953953612</v>
      </c>
      <c r="G110" s="62">
        <f ca="1">Tabelle2!$G$676</f>
        <v>3.451686946325708</v>
      </c>
      <c r="H110" s="62">
        <f ca="1">$G$676</f>
        <v>15.735056613334507</v>
      </c>
      <c r="I110" s="62">
        <f ca="1">Tabelle2!$G$706</f>
        <v>3.160104016334742</v>
      </c>
      <c r="J110" s="62">
        <f>$G$706</f>
        <v>14.344094194408569</v>
      </c>
      <c r="K110" s="2"/>
      <c r="L110" s="27">
        <f t="shared" si="6"/>
        <v>3.7183430068165609E-2</v>
      </c>
      <c r="M110" s="27">
        <f t="shared" si="7"/>
        <v>2.4410304416242437E-2</v>
      </c>
      <c r="N110" s="27">
        <f t="shared" si="8"/>
        <v>2.7935290129597116E-2</v>
      </c>
      <c r="O110" s="27">
        <f t="shared" si="9"/>
        <v>0.16930261041272737</v>
      </c>
      <c r="P110" s="27">
        <f t="shared" si="10"/>
        <v>0.11127820335710707</v>
      </c>
      <c r="Q110" s="27">
        <f t="shared" si="11"/>
        <v>0.12680165934279397</v>
      </c>
      <c r="R110" s="55" t="s">
        <v>479</v>
      </c>
      <c r="S110" s="35"/>
      <c r="T110" s="2" t="s">
        <v>593</v>
      </c>
      <c r="U110" s="2"/>
      <c r="AD110" s="2"/>
      <c r="AE110" s="2"/>
      <c r="AF110" s="2"/>
    </row>
    <row r="111" spans="1:32">
      <c r="C111" s="37">
        <f t="shared" si="5"/>
        <v>2.8616414967886722E-2</v>
      </c>
      <c r="D111" s="35">
        <v>70</v>
      </c>
      <c r="E111" s="62">
        <f ca="1">Tabelle2!$G$746</f>
        <v>3.4196507606920932</v>
      </c>
      <c r="F111" s="62">
        <f ca="1">$G$746</f>
        <v>15.650348435001888</v>
      </c>
      <c r="G111" s="62">
        <f ca="1">Tabelle2!$G$790</f>
        <v>3.3708580049315628</v>
      </c>
      <c r="H111" s="62">
        <f ca="1">$G$790</f>
        <v>15.451852784579557</v>
      </c>
      <c r="I111" s="62">
        <f ca="1">Tabelle2!$G$820</f>
        <v>3.0745257830915307</v>
      </c>
      <c r="J111" s="62">
        <f>$G$820</f>
        <v>14.034526675456902</v>
      </c>
      <c r="K111" s="2"/>
      <c r="L111" s="27">
        <f t="shared" si="6"/>
        <v>2.9357443563964327E-2</v>
      </c>
      <c r="M111" s="27">
        <f t="shared" si="7"/>
        <v>1.9292374293388873E-2</v>
      </c>
      <c r="N111" s="27">
        <f t="shared" si="8"/>
        <v>2.1995476409603532E-2</v>
      </c>
      <c r="O111" s="27">
        <f t="shared" si="9"/>
        <v>0.13435705956240915</v>
      </c>
      <c r="P111" s="27">
        <f t="shared" si="10"/>
        <v>8.8435326261244923E-2</v>
      </c>
      <c r="Q111" s="27">
        <f t="shared" si="11"/>
        <v>0.10040445980568759</v>
      </c>
      <c r="R111" s="55" t="s">
        <v>479</v>
      </c>
      <c r="S111" s="35"/>
      <c r="T111" s="95" t="s">
        <v>594</v>
      </c>
      <c r="U111" s="2"/>
      <c r="W111" s="95">
        <v>0.19</v>
      </c>
      <c r="X111" s="96" t="s">
        <v>497</v>
      </c>
      <c r="AD111" s="2"/>
      <c r="AE111" s="2"/>
      <c r="AF111" s="2"/>
    </row>
    <row r="112" spans="1:32">
      <c r="C112" s="37">
        <f t="shared" si="5"/>
        <v>2.1655078920873788E-2</v>
      </c>
      <c r="D112" s="35">
        <v>75</v>
      </c>
      <c r="E112" s="62">
        <f ca="1">Tabelle2!$G$860</f>
        <v>2.8829029701304307</v>
      </c>
      <c r="F112" s="62">
        <f ca="1">$G$860</f>
        <v>13.257017338350238</v>
      </c>
      <c r="G112" s="62">
        <f ca="1">Tabelle2!$G$904</f>
        <v>2.9503419829014206</v>
      </c>
      <c r="H112" s="62">
        <f ca="1">$G$904</f>
        <v>13.607440306097772</v>
      </c>
      <c r="I112" s="62">
        <f ca="1">Tabelle2!$G$934</f>
        <v>3.0079333641545531</v>
      </c>
      <c r="J112" s="62">
        <f>$G$934</f>
        <v>13.842390302872275</v>
      </c>
      <c r="K112" s="2"/>
      <c r="L112" s="27">
        <f t="shared" si="6"/>
        <v>1.8728847401818776E-2</v>
      </c>
      <c r="M112" s="27">
        <f t="shared" si="7"/>
        <v>1.2777977696659506E-2</v>
      </c>
      <c r="N112" s="27">
        <f t="shared" si="8"/>
        <v>1.6284258597374059E-2</v>
      </c>
      <c r="O112" s="27">
        <f t="shared" si="9"/>
        <v>8.6124527015209965E-2</v>
      </c>
      <c r="P112" s="27">
        <f t="shared" si="10"/>
        <v>5.8934038747925244E-2</v>
      </c>
      <c r="Q112" s="27">
        <f t="shared" si="11"/>
        <v>7.4939513615559283E-2</v>
      </c>
      <c r="R112" s="55" t="s">
        <v>479</v>
      </c>
      <c r="S112" s="35"/>
      <c r="U112" s="2"/>
      <c r="AD112" s="2"/>
      <c r="AE112" s="2"/>
      <c r="AF112" s="2"/>
    </row>
    <row r="113" spans="1:32">
      <c r="C113" s="37">
        <f t="shared" si="5"/>
        <v>1.4528934647578868E-2</v>
      </c>
      <c r="D113" s="35">
        <v>80</v>
      </c>
      <c r="E113" s="62">
        <f ca="1">Tabelle2!$G$974</f>
        <v>2.8156359032169007</v>
      </c>
      <c r="F113" s="62">
        <f ca="1">$G$974</f>
        <v>13.179709835436086</v>
      </c>
      <c r="G113" s="62">
        <f ca="1">Tabelle2!$G$1018</f>
        <v>2.8891424013468168</v>
      </c>
      <c r="H113" s="62">
        <f ca="1">$G$1018</f>
        <v>13.567884359155585</v>
      </c>
      <c r="I113" s="62">
        <f ca="1">Tabelle2!$G$1048</f>
        <v>2.94066629724108</v>
      </c>
      <c r="J113" s="62">
        <f>$G$1048</f>
        <v>13.765082799958122</v>
      </c>
      <c r="K113" s="2"/>
      <c r="L113" s="27">
        <f t="shared" si="6"/>
        <v>1.2272457008764514E-2</v>
      </c>
      <c r="M113" s="27">
        <f t="shared" si="7"/>
        <v>8.3952322273433966E-3</v>
      </c>
      <c r="N113" s="27">
        <f t="shared" si="8"/>
        <v>1.0681187113238346E-2</v>
      </c>
      <c r="O113" s="27">
        <f t="shared" si="9"/>
        <v>5.7446142861930991E-2</v>
      </c>
      <c r="P113" s="27">
        <f t="shared" si="10"/>
        <v>3.9425381032015802E-2</v>
      </c>
      <c r="Q113" s="27">
        <f t="shared" si="11"/>
        <v>4.9997997104775871E-2</v>
      </c>
      <c r="R113" s="55" t="s">
        <v>479</v>
      </c>
      <c r="S113" s="35"/>
      <c r="T113" s="2"/>
      <c r="U113" s="2"/>
      <c r="AD113" s="2"/>
      <c r="AE113" s="2"/>
      <c r="AF113" s="2"/>
    </row>
    <row r="114" spans="1:32">
      <c r="C114" s="37">
        <f t="shared" si="5"/>
        <v>7.2922164088052594E-3</v>
      </c>
      <c r="D114" s="35">
        <v>85</v>
      </c>
      <c r="E114" s="62">
        <f ca="1">Tabelle2!$G$1088</f>
        <v>2.3468112591127692</v>
      </c>
      <c r="F114" s="62">
        <f ca="1">$G$1088</f>
        <v>11.4390654247008</v>
      </c>
      <c r="G114" s="62">
        <f ca="1">Tabelle2!$G$1132</f>
        <v>2.5328278991557909</v>
      </c>
      <c r="H114" s="62">
        <f ca="1">$G$1132</f>
        <v>12.370618747856042</v>
      </c>
      <c r="I114" s="62">
        <f ca="1">Tabelle2!$G$1162</f>
        <v>2.9164059491399144</v>
      </c>
      <c r="J114" s="62">
        <f>$G$1162</f>
        <v>14.105819655779044</v>
      </c>
      <c r="K114" s="2"/>
      <c r="L114" s="27">
        <f t="shared" si="6"/>
        <v>5.13403667162132E-3</v>
      </c>
      <c r="M114" s="27">
        <f t="shared" si="7"/>
        <v>3.6939858333807224E-3</v>
      </c>
      <c r="N114" s="27">
        <f t="shared" si="8"/>
        <v>5.3167658292638401E-3</v>
      </c>
      <c r="O114" s="27">
        <f t="shared" si="9"/>
        <v>2.5024842177420025E-2</v>
      </c>
      <c r="P114" s="27">
        <f t="shared" si="10"/>
        <v>1.8041845804037962E-2</v>
      </c>
      <c r="Q114" s="27">
        <f t="shared" si="11"/>
        <v>2.5715672388379924E-2</v>
      </c>
      <c r="R114" s="55" t="s">
        <v>479</v>
      </c>
      <c r="S114" s="35"/>
      <c r="T114" s="2"/>
      <c r="U114" s="2"/>
      <c r="AD114" s="2"/>
      <c r="AE114" s="2"/>
      <c r="AF114" s="2"/>
    </row>
    <row r="115" spans="1:32">
      <c r="B115" t="s">
        <v>559</v>
      </c>
      <c r="C115" s="38">
        <f>SUM(C97:C114)</f>
        <v>0.99999968945929019</v>
      </c>
      <c r="E115" s="2"/>
      <c r="F115" s="2"/>
      <c r="G115" s="2"/>
      <c r="I115" s="32"/>
      <c r="J115" s="32"/>
      <c r="K115" s="32" t="s">
        <v>559</v>
      </c>
      <c r="L115" s="16">
        <f t="shared" ref="L115:Q115" si="12">SUM(L106:L114)</f>
        <v>0.24436210884041262</v>
      </c>
      <c r="M115" s="16">
        <f t="shared" si="12"/>
        <v>0.21326902048750856</v>
      </c>
      <c r="N115" s="16">
        <f t="shared" si="12"/>
        <v>0.27584408068334909</v>
      </c>
      <c r="O115" s="16">
        <f t="shared" si="12"/>
        <v>1.1009585378095916</v>
      </c>
      <c r="P115" s="16">
        <f t="shared" si="12"/>
        <v>0.97674319209072102</v>
      </c>
      <c r="Q115" s="16">
        <f t="shared" si="12"/>
        <v>1.248480418247464</v>
      </c>
      <c r="R115" s="32" t="s">
        <v>479</v>
      </c>
      <c r="S115" s="35"/>
      <c r="T115" s="2"/>
      <c r="U115" s="2"/>
      <c r="AD115" s="2"/>
      <c r="AE115" s="2"/>
      <c r="AF115" s="2"/>
    </row>
    <row r="116" spans="1:32" ht="18.75">
      <c r="E116" s="41"/>
      <c r="G116" s="42"/>
      <c r="H116" s="42"/>
      <c r="I116" s="41"/>
      <c r="J116" s="41"/>
      <c r="K116" s="41"/>
      <c r="R116" s="2"/>
      <c r="S116" s="2"/>
      <c r="T116" s="2"/>
      <c r="U116" s="2"/>
      <c r="AD116" s="2"/>
      <c r="AE116" s="2"/>
      <c r="AF116" s="2"/>
    </row>
    <row r="117" spans="1:32">
      <c r="C117" s="3"/>
      <c r="D117" s="35"/>
      <c r="G117" s="2"/>
      <c r="H117" s="2"/>
      <c r="I117" s="2"/>
      <c r="K117" s="2"/>
      <c r="L117" s="21"/>
      <c r="M117" s="2"/>
      <c r="N117" s="2"/>
      <c r="O117" s="2"/>
      <c r="P117" s="2"/>
      <c r="Q117" s="2"/>
      <c r="R117" s="2"/>
      <c r="S117" s="2"/>
      <c r="T117" s="2"/>
      <c r="U117" s="2"/>
      <c r="AD117" s="2"/>
      <c r="AE117" s="2"/>
      <c r="AF117" s="2"/>
    </row>
    <row r="118" spans="1:32">
      <c r="A118" s="20" t="s">
        <v>622</v>
      </c>
      <c r="C118" s="3"/>
      <c r="D118" s="20" t="s">
        <v>621</v>
      </c>
      <c r="F118" s="20" t="s">
        <v>739</v>
      </c>
      <c r="G118" s="2"/>
      <c r="H118" s="2"/>
      <c r="I118" s="2"/>
      <c r="K118" s="2"/>
      <c r="L118" s="2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>
      <c r="D119" t="s">
        <v>619</v>
      </c>
      <c r="F119" t="s">
        <v>626</v>
      </c>
      <c r="G119" s="2"/>
      <c r="H119" s="2"/>
      <c r="I119" s="2"/>
      <c r="K119" s="2"/>
      <c r="L119" s="2"/>
      <c r="M119" s="2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>
      <c r="D120" s="16" t="s">
        <v>620</v>
      </c>
      <c r="F120" s="16" t="s">
        <v>625</v>
      </c>
      <c r="G120" s="2"/>
      <c r="H120" s="2"/>
      <c r="I120" s="2"/>
      <c r="K120" s="2"/>
      <c r="L120" s="2"/>
      <c r="M120" s="2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>
      <c r="D121" s="39" t="s">
        <v>623</v>
      </c>
      <c r="E121" s="39"/>
      <c r="F121" s="39" t="s">
        <v>624</v>
      </c>
      <c r="G121" s="2"/>
      <c r="H121" s="2"/>
      <c r="I121" s="2"/>
      <c r="K121" s="2"/>
      <c r="L121" s="2"/>
      <c r="M121" s="2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>
      <c r="A122" t="s">
        <v>903</v>
      </c>
      <c r="D122" s="39"/>
      <c r="E122" s="39"/>
      <c r="F122" s="39"/>
      <c r="G122" s="2"/>
      <c r="H122" s="2"/>
      <c r="I122" s="2"/>
      <c r="J122" s="80" t="s">
        <v>712</v>
      </c>
      <c r="K122" s="2"/>
      <c r="L122" s="2"/>
      <c r="M122" s="2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>
      <c r="B123" t="s">
        <v>904</v>
      </c>
      <c r="D123" s="39"/>
      <c r="E123" s="39"/>
      <c r="F123" s="39"/>
      <c r="G123" s="2"/>
      <c r="H123" s="2"/>
      <c r="I123" s="2"/>
      <c r="K123" s="2"/>
      <c r="L123" s="2"/>
      <c r="M123" s="2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>
      <c r="D124" s="39"/>
      <c r="E124" s="39"/>
      <c r="F124" s="39"/>
      <c r="G124" s="2"/>
      <c r="H124" s="2"/>
      <c r="I124" s="2"/>
      <c r="K124" s="2"/>
      <c r="L124" s="2"/>
      <c r="M124" s="21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>
      <c r="A125" s="3" t="s">
        <v>745</v>
      </c>
      <c r="B125" s="16"/>
      <c r="E125" s="12"/>
      <c r="F125" s="6"/>
      <c r="G125" s="32"/>
      <c r="H125" s="2"/>
      <c r="I125" s="2"/>
      <c r="K125" s="10"/>
      <c r="L125" s="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8.75">
      <c r="A126" s="85" t="s">
        <v>501</v>
      </c>
      <c r="B126" s="30" t="s">
        <v>609</v>
      </c>
      <c r="H126" s="4" t="s">
        <v>484</v>
      </c>
      <c r="I126" s="4" t="s">
        <v>486</v>
      </c>
      <c r="J126" s="4" t="s">
        <v>485</v>
      </c>
      <c r="K126" s="4" t="s">
        <v>487</v>
      </c>
      <c r="L126" s="4" t="s">
        <v>488</v>
      </c>
      <c r="M126" s="4" t="s">
        <v>489</v>
      </c>
      <c r="N126" s="4" t="s">
        <v>490</v>
      </c>
      <c r="O126" s="4" t="s">
        <v>491</v>
      </c>
      <c r="P126" s="4" t="s">
        <v>494</v>
      </c>
      <c r="Q126" s="4" t="s">
        <v>492</v>
      </c>
      <c r="R126" s="4" t="s">
        <v>495</v>
      </c>
      <c r="S126" s="4" t="s">
        <v>493</v>
      </c>
      <c r="T126" s="4" t="s">
        <v>515</v>
      </c>
      <c r="U126" s="4" t="s">
        <v>517</v>
      </c>
      <c r="V126" s="4" t="s">
        <v>518</v>
      </c>
      <c r="W126" s="4" t="s">
        <v>516</v>
      </c>
      <c r="X126" s="4" t="s">
        <v>519</v>
      </c>
      <c r="Y126" s="4" t="s">
        <v>520</v>
      </c>
      <c r="Z126" s="4" t="s">
        <v>521</v>
      </c>
      <c r="AA126" s="4" t="s">
        <v>522</v>
      </c>
      <c r="AB126" s="4" t="s">
        <v>523</v>
      </c>
      <c r="AC126" s="4" t="s">
        <v>524</v>
      </c>
      <c r="AD126" s="4" t="s">
        <v>525</v>
      </c>
      <c r="AE126" s="4" t="s">
        <v>526</v>
      </c>
      <c r="AF126" s="2"/>
    </row>
    <row r="127" spans="1:32" s="27" customFormat="1">
      <c r="A127" s="27" t="s">
        <v>561</v>
      </c>
      <c r="D127" s="102" t="s">
        <v>855</v>
      </c>
      <c r="E127" s="12"/>
      <c r="F127" s="103"/>
      <c r="G127" s="55">
        <f>SUM(H127:AE127)/48</f>
        <v>308.79408317756833</v>
      </c>
      <c r="H127" s="55">
        <f>H$63</f>
        <v>63.917870910841707</v>
      </c>
      <c r="I127" s="55">
        <f t="shared" ref="I127:AE127" si="13">I$63</f>
        <v>189.5408091620528</v>
      </c>
      <c r="J127" s="55">
        <f t="shared" si="13"/>
        <v>311.69105485023806</v>
      </c>
      <c r="K127" s="55">
        <f t="shared" si="13"/>
        <v>428.54806817081112</v>
      </c>
      <c r="L127" s="55">
        <f t="shared" si="13"/>
        <v>538.07997102798959</v>
      </c>
      <c r="M127" s="55">
        <f t="shared" si="13"/>
        <v>638.39457825518718</v>
      </c>
      <c r="N127" s="55">
        <f t="shared" si="13"/>
        <v>727.83609874343028</v>
      </c>
      <c r="O127" s="55">
        <f t="shared" si="13"/>
        <v>804.66012234390087</v>
      </c>
      <c r="P127" s="55">
        <f t="shared" si="13"/>
        <v>867.86096213658595</v>
      </c>
      <c r="Q127" s="55">
        <f t="shared" si="13"/>
        <v>926.69353082303905</v>
      </c>
      <c r="R127" s="55">
        <f t="shared" si="13"/>
        <v>948.73950708844575</v>
      </c>
      <c r="S127" s="55">
        <f t="shared" si="13"/>
        <v>965.09542274911848</v>
      </c>
      <c r="T127" s="55">
        <f t="shared" si="13"/>
        <v>965.09542274911848</v>
      </c>
      <c r="U127" s="55">
        <f t="shared" si="13"/>
        <v>948.73950708844575</v>
      </c>
      <c r="V127" s="55">
        <f t="shared" si="13"/>
        <v>926.69353082303905</v>
      </c>
      <c r="W127" s="55">
        <f t="shared" si="13"/>
        <v>867.86096213658595</v>
      </c>
      <c r="X127" s="55">
        <f t="shared" si="13"/>
        <v>804.66012234390087</v>
      </c>
      <c r="Y127" s="55">
        <f t="shared" si="13"/>
        <v>727.83609874343028</v>
      </c>
      <c r="Z127" s="55">
        <f t="shared" si="13"/>
        <v>638.39457825518718</v>
      </c>
      <c r="AA127" s="55">
        <f t="shared" si="13"/>
        <v>538.07997102798959</v>
      </c>
      <c r="AB127" s="55">
        <f t="shared" si="13"/>
        <v>428.54806817081112</v>
      </c>
      <c r="AC127" s="55">
        <f t="shared" si="13"/>
        <v>311.69105485023806</v>
      </c>
      <c r="AD127" s="55">
        <f t="shared" si="13"/>
        <v>189.5408091620528</v>
      </c>
      <c r="AE127" s="55">
        <f t="shared" si="13"/>
        <v>63.917870910841707</v>
      </c>
      <c r="AF127" s="55"/>
    </row>
    <row r="128" spans="1:32">
      <c r="A128" s="3" t="s">
        <v>722</v>
      </c>
      <c r="G128" s="3" t="s">
        <v>829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2"/>
    </row>
    <row r="129" spans="1:33">
      <c r="A129" s="20" t="s">
        <v>824</v>
      </c>
      <c r="B129" s="11"/>
      <c r="C129" s="11"/>
      <c r="D129" t="s">
        <v>856</v>
      </c>
      <c r="E129" s="12"/>
      <c r="F129" s="18"/>
      <c r="G129" s="19">
        <f>SUM(H129:AE129)/48</f>
        <v>30.879408317756837</v>
      </c>
      <c r="H129" s="2">
        <f>H$63*$O$20</f>
        <v>6.3917870910841712</v>
      </c>
      <c r="I129" s="2">
        <f t="shared" ref="I129:AE129" si="14">I$63*$O$20</f>
        <v>18.954080916205282</v>
      </c>
      <c r="J129" s="2">
        <f t="shared" si="14"/>
        <v>31.169105485023806</v>
      </c>
      <c r="K129" s="2">
        <f t="shared" si="14"/>
        <v>42.854806817081112</v>
      </c>
      <c r="L129" s="2">
        <f t="shared" si="14"/>
        <v>53.807997102798964</v>
      </c>
      <c r="M129" s="2">
        <f t="shared" si="14"/>
        <v>63.839457825518721</v>
      </c>
      <c r="N129" s="2">
        <f t="shared" si="14"/>
        <v>72.783609874343028</v>
      </c>
      <c r="O129" s="2">
        <f t="shared" si="14"/>
        <v>80.466012234390092</v>
      </c>
      <c r="P129" s="2">
        <f t="shared" si="14"/>
        <v>86.786096213658595</v>
      </c>
      <c r="Q129" s="2">
        <f t="shared" si="14"/>
        <v>92.669353082303914</v>
      </c>
      <c r="R129" s="2">
        <f t="shared" si="14"/>
        <v>94.873950708844575</v>
      </c>
      <c r="S129" s="2">
        <f t="shared" si="14"/>
        <v>96.509542274911851</v>
      </c>
      <c r="T129" s="2">
        <f t="shared" si="14"/>
        <v>96.509542274911851</v>
      </c>
      <c r="U129" s="2">
        <f t="shared" si="14"/>
        <v>94.873950708844575</v>
      </c>
      <c r="V129" s="2">
        <f t="shared" si="14"/>
        <v>92.669353082303914</v>
      </c>
      <c r="W129" s="2">
        <f t="shared" si="14"/>
        <v>86.786096213658595</v>
      </c>
      <c r="X129" s="2">
        <f t="shared" si="14"/>
        <v>80.466012234390092</v>
      </c>
      <c r="Y129" s="2">
        <f t="shared" si="14"/>
        <v>72.783609874343028</v>
      </c>
      <c r="Z129" s="2">
        <f t="shared" si="14"/>
        <v>63.839457825518721</v>
      </c>
      <c r="AA129" s="2">
        <f t="shared" si="14"/>
        <v>53.807997102798964</v>
      </c>
      <c r="AB129" s="2">
        <f t="shared" si="14"/>
        <v>42.854806817081112</v>
      </c>
      <c r="AC129" s="2">
        <f t="shared" si="14"/>
        <v>31.169105485023806</v>
      </c>
      <c r="AD129" s="2">
        <f t="shared" si="14"/>
        <v>18.954080916205282</v>
      </c>
      <c r="AE129" s="2">
        <f t="shared" si="14"/>
        <v>6.3917870910841712</v>
      </c>
      <c r="AF129" s="2"/>
    </row>
    <row r="130" spans="1:33">
      <c r="A130" s="20"/>
      <c r="B130" s="5" t="s">
        <v>1029</v>
      </c>
      <c r="C130" s="11"/>
      <c r="D130" t="s">
        <v>731</v>
      </c>
      <c r="E130" s="12"/>
      <c r="F130" s="18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3">
      <c r="A131" s="20" t="s">
        <v>825</v>
      </c>
      <c r="D131" t="s">
        <v>857</v>
      </c>
      <c r="G131" s="19">
        <f>SUM(H131:AE131)/24</f>
        <v>365.61213149699984</v>
      </c>
      <c r="H131" s="2">
        <f>$O$24</f>
        <v>365.61213149700001</v>
      </c>
      <c r="I131" s="2">
        <f t="shared" ref="I131:AE131" si="15">$O$24</f>
        <v>365.61213149700001</v>
      </c>
      <c r="J131" s="2">
        <f t="shared" si="15"/>
        <v>365.61213149700001</v>
      </c>
      <c r="K131" s="2">
        <f t="shared" si="15"/>
        <v>365.61213149700001</v>
      </c>
      <c r="L131" s="2">
        <f t="shared" si="15"/>
        <v>365.61213149700001</v>
      </c>
      <c r="M131" s="2">
        <f t="shared" si="15"/>
        <v>365.61213149700001</v>
      </c>
      <c r="N131" s="2">
        <f t="shared" si="15"/>
        <v>365.61213149700001</v>
      </c>
      <c r="O131" s="2">
        <f t="shared" si="15"/>
        <v>365.61213149700001</v>
      </c>
      <c r="P131" s="2">
        <f t="shared" si="15"/>
        <v>365.61213149700001</v>
      </c>
      <c r="Q131" s="2">
        <f t="shared" si="15"/>
        <v>365.61213149700001</v>
      </c>
      <c r="R131" s="2">
        <f t="shared" si="15"/>
        <v>365.61213149700001</v>
      </c>
      <c r="S131" s="2">
        <f t="shared" si="15"/>
        <v>365.61213149700001</v>
      </c>
      <c r="T131" s="2">
        <f t="shared" si="15"/>
        <v>365.61213149700001</v>
      </c>
      <c r="U131" s="2">
        <f t="shared" si="15"/>
        <v>365.61213149700001</v>
      </c>
      <c r="V131" s="2">
        <f t="shared" si="15"/>
        <v>365.61213149700001</v>
      </c>
      <c r="W131" s="2">
        <f t="shared" si="15"/>
        <v>365.61213149700001</v>
      </c>
      <c r="X131" s="2">
        <f t="shared" si="15"/>
        <v>365.61213149700001</v>
      </c>
      <c r="Y131" s="2">
        <f t="shared" si="15"/>
        <v>365.61213149700001</v>
      </c>
      <c r="Z131" s="2">
        <f t="shared" si="15"/>
        <v>365.61213149700001</v>
      </c>
      <c r="AA131" s="2">
        <f t="shared" si="15"/>
        <v>365.61213149700001</v>
      </c>
      <c r="AB131" s="2">
        <f t="shared" si="15"/>
        <v>365.61213149700001</v>
      </c>
      <c r="AC131" s="2">
        <f t="shared" si="15"/>
        <v>365.61213149700001</v>
      </c>
      <c r="AD131" s="2">
        <f t="shared" si="15"/>
        <v>365.61213149700001</v>
      </c>
      <c r="AE131" s="2">
        <f t="shared" si="15"/>
        <v>365.61213149700001</v>
      </c>
      <c r="AF131" s="2"/>
    </row>
    <row r="132" spans="1:33">
      <c r="A132" s="20"/>
      <c r="B132" s="16" t="s">
        <v>738</v>
      </c>
      <c r="G132" s="32">
        <f>G129+G131</f>
        <v>396.49153981475666</v>
      </c>
      <c r="H132" s="3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3">
      <c r="A133" s="22"/>
      <c r="B133" s="16"/>
      <c r="G133" s="32"/>
      <c r="H133" s="3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3">
      <c r="A134" s="3" t="s">
        <v>331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3">
      <c r="A135" s="3"/>
      <c r="B135" t="s">
        <v>716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3">
      <c r="A136" s="3"/>
      <c r="B136" t="s">
        <v>826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3">
      <c r="A137" s="3"/>
      <c r="B137" t="s">
        <v>828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3">
      <c r="A138" s="3"/>
      <c r="B138" t="s">
        <v>827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3">
      <c r="A139" s="3"/>
      <c r="B139" t="s">
        <v>821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3">
      <c r="A140" t="s">
        <v>915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3" s="27" customFormat="1">
      <c r="A141" s="27" t="s">
        <v>913</v>
      </c>
      <c r="G141" s="55"/>
      <c r="H141" s="101">
        <f ca="1">Tabelle3!D$12</f>
        <v>0.64774782682885257</v>
      </c>
      <c r="I141" s="101">
        <f ca="1">Tabelle3!E$12</f>
        <v>0.31329018310028334</v>
      </c>
      <c r="J141" s="101">
        <f ca="1">Tabelle3!F$12</f>
        <v>0.20442320046143528</v>
      </c>
      <c r="K141" s="101">
        <f ca="1">Tabelle3!G$12</f>
        <v>0.15411509381467434</v>
      </c>
      <c r="L141" s="101">
        <f ca="1">Tabelle3!H$12</f>
        <v>0.12204354800450258</v>
      </c>
      <c r="M141" s="101">
        <f ca="1">Tabelle3!I$12</f>
        <v>0.10457134508519547</v>
      </c>
      <c r="N141" s="101">
        <f ca="1">Tabelle3!J$12</f>
        <v>9.2373488074200621E-2</v>
      </c>
      <c r="O141" s="101">
        <f ca="1">Tabelle3!K$12</f>
        <v>8.3207433944200632E-2</v>
      </c>
      <c r="P141" s="101">
        <f ca="1">Tabelle3!L$12</f>
        <v>7.8136609492248349E-2</v>
      </c>
      <c r="Q141" s="101">
        <f ca="1">Tabelle3!M$12</f>
        <v>7.3186879355566586E-2</v>
      </c>
      <c r="R141" s="101">
        <f ca="1">Tabelle3!N$12</f>
        <v>7.1264507100647356E-2</v>
      </c>
      <c r="S141" s="101">
        <f ca="1">Tabelle3!O$12</f>
        <v>6.9811375317401336E-2</v>
      </c>
      <c r="T141" s="101">
        <f ca="1">Tabelle3!P$12</f>
        <v>6.9811375317401336E-2</v>
      </c>
      <c r="U141" s="101">
        <f ca="1">Tabelle3!Q$12</f>
        <v>7.1264507100647356E-2</v>
      </c>
      <c r="V141" s="101">
        <f ca="1">Tabelle3!R$12</f>
        <v>7.3186879355566586E-2</v>
      </c>
      <c r="W141" s="101">
        <f ca="1">Tabelle3!S$12</f>
        <v>7.8136609492248349E-2</v>
      </c>
      <c r="X141" s="101">
        <f ca="1">Tabelle3!T$12</f>
        <v>8.3207433944200632E-2</v>
      </c>
      <c r="Y141" s="101">
        <f ca="1">Tabelle3!U$12</f>
        <v>9.2373488074200621E-2</v>
      </c>
      <c r="Z141" s="101">
        <f ca="1">Tabelle3!V$12</f>
        <v>0.10457134508519547</v>
      </c>
      <c r="AA141" s="101">
        <f ca="1">Tabelle3!W$12</f>
        <v>0.12204354800450258</v>
      </c>
      <c r="AB141" s="101">
        <f ca="1">Tabelle3!X$12</f>
        <v>0.15411509381467434</v>
      </c>
      <c r="AC141" s="101">
        <f ca="1">Tabelle3!Y$12</f>
        <v>0.20442320046143528</v>
      </c>
      <c r="AD141" s="101">
        <f ca="1">Tabelle3!Z$12</f>
        <v>0.31329018310028334</v>
      </c>
      <c r="AE141" s="101">
        <f ca="1">Tabelle3!AA$12</f>
        <v>0.64774782682885257</v>
      </c>
      <c r="AF141" s="55"/>
    </row>
    <row r="142" spans="1:33" s="27" customFormat="1">
      <c r="A142" s="27" t="s">
        <v>830</v>
      </c>
      <c r="F142" s="10">
        <f ca="1">Tabelle3!N$80</f>
        <v>1.9907587298357079</v>
      </c>
      <c r="H142" s="107">
        <f ca="1">$F$11*$F$142</f>
        <v>9.9537936491785398E-2</v>
      </c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55"/>
    </row>
    <row r="143" spans="1:33" ht="15" customHeight="1">
      <c r="A143" s="3" t="s">
        <v>831</v>
      </c>
      <c r="B143" s="11"/>
      <c r="C143" s="11"/>
      <c r="D143" s="11"/>
      <c r="E143" s="27"/>
      <c r="F143" s="6"/>
      <c r="G143" s="19">
        <f>SUM(H143:AE143)/48</f>
        <v>15.995408125663628</v>
      </c>
      <c r="H143" s="24">
        <f t="shared" ref="H143:AE143" si="16">H$63*H$141*$F$16</f>
        <v>20.701330989012423</v>
      </c>
      <c r="I143" s="24">
        <f t="shared" si="16"/>
        <v>29.690637403677691</v>
      </c>
      <c r="J143" s="24">
        <f t="shared" si="16"/>
        <v>31.858441493843216</v>
      </c>
      <c r="K143" s="24">
        <f t="shared" si="16"/>
        <v>33.022862865121006</v>
      </c>
      <c r="L143" s="24">
        <f t="shared" si="16"/>
        <v>32.8345943872079</v>
      </c>
      <c r="M143" s="24">
        <f t="shared" si="16"/>
        <v>33.378889871620501</v>
      </c>
      <c r="N143" s="24">
        <f t="shared" si="16"/>
        <v>33.61637959362448</v>
      </c>
      <c r="O143" s="24">
        <f t="shared" si="16"/>
        <v>33.476851988731262</v>
      </c>
      <c r="P143" s="24">
        <f t="shared" si="16"/>
        <v>33.905856546016672</v>
      </c>
      <c r="Q143" s="24">
        <f t="shared" si="16"/>
        <v>33.910903819964894</v>
      </c>
      <c r="R143" s="24">
        <f t="shared" si="16"/>
        <v>33.805726669784605</v>
      </c>
      <c r="S143" s="24">
        <f t="shared" si="16"/>
        <v>33.687319387322411</v>
      </c>
      <c r="T143" s="24">
        <f t="shared" si="16"/>
        <v>33.687319387322411</v>
      </c>
      <c r="U143" s="24">
        <f t="shared" si="16"/>
        <v>33.805726669784605</v>
      </c>
      <c r="V143" s="24">
        <f t="shared" si="16"/>
        <v>33.910903819964894</v>
      </c>
      <c r="W143" s="24">
        <f t="shared" si="16"/>
        <v>33.905856546016672</v>
      </c>
      <c r="X143" s="24">
        <f t="shared" si="16"/>
        <v>33.476851988731262</v>
      </c>
      <c r="Y143" s="24">
        <f t="shared" si="16"/>
        <v>33.61637959362448</v>
      </c>
      <c r="Z143" s="24">
        <f t="shared" si="16"/>
        <v>33.378889871620501</v>
      </c>
      <c r="AA143" s="24">
        <f t="shared" si="16"/>
        <v>32.8345943872079</v>
      </c>
      <c r="AB143" s="24">
        <f t="shared" si="16"/>
        <v>33.022862865121006</v>
      </c>
      <c r="AC143" s="24">
        <f t="shared" si="16"/>
        <v>31.858441493843216</v>
      </c>
      <c r="AD143" s="24">
        <f t="shared" si="16"/>
        <v>29.690637403677691</v>
      </c>
      <c r="AE143" s="24">
        <f t="shared" si="16"/>
        <v>20.701330989012423</v>
      </c>
      <c r="AF143" s="28"/>
      <c r="AG143" s="11"/>
    </row>
    <row r="144" spans="1:33">
      <c r="A144" s="3"/>
      <c r="B144" s="5" t="s">
        <v>1021</v>
      </c>
      <c r="C144" s="11"/>
      <c r="D144" t="s">
        <v>908</v>
      </c>
      <c r="F144" s="27"/>
      <c r="G144" t="s">
        <v>854</v>
      </c>
      <c r="I144" s="2"/>
      <c r="K144" s="2"/>
      <c r="M144" s="2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11"/>
    </row>
    <row r="145" spans="1:33">
      <c r="A145" s="3"/>
      <c r="C145" s="11"/>
      <c r="D145" s="2" t="s">
        <v>1022</v>
      </c>
      <c r="F145" s="27"/>
      <c r="G145" s="2"/>
      <c r="I145" s="2"/>
      <c r="K145" s="2"/>
      <c r="M145" s="2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11"/>
    </row>
    <row r="146" spans="1:33">
      <c r="A146" t="s">
        <v>879</v>
      </c>
      <c r="C146" s="11"/>
      <c r="G146" s="98">
        <f>SUM(H146:AE146)/48</f>
        <v>292.47876688939147</v>
      </c>
      <c r="H146" s="97">
        <f>H$63*(1-($F$16+$F$13)*H$141)</f>
        <v>42.802513302049036</v>
      </c>
      <c r="I146" s="97">
        <f t="shared" ref="I146:AE146" si="17">I$63*(1-($F$16+$F$13)*I$141)</f>
        <v>159.25635901030154</v>
      </c>
      <c r="J146" s="97">
        <f t="shared" si="17"/>
        <v>279.19544452651797</v>
      </c>
      <c r="K146" s="97">
        <f t="shared" si="17"/>
        <v>394.8647480483877</v>
      </c>
      <c r="L146" s="97">
        <f t="shared" si="17"/>
        <v>504.58868475303751</v>
      </c>
      <c r="M146" s="97">
        <f t="shared" si="17"/>
        <v>604.34811058613434</v>
      </c>
      <c r="N146" s="97">
        <f t="shared" si="17"/>
        <v>693.54739155793322</v>
      </c>
      <c r="O146" s="97">
        <f t="shared" si="17"/>
        <v>770.51373331539503</v>
      </c>
      <c r="P146" s="97">
        <f t="shared" si="17"/>
        <v>833.27698845964892</v>
      </c>
      <c r="Q146" s="97">
        <f t="shared" si="17"/>
        <v>892.10440892667486</v>
      </c>
      <c r="R146" s="97">
        <f t="shared" si="17"/>
        <v>914.2576658852654</v>
      </c>
      <c r="S146" s="97">
        <f t="shared" si="17"/>
        <v>930.73435697404966</v>
      </c>
      <c r="T146" s="97">
        <f t="shared" si="17"/>
        <v>930.73435697404966</v>
      </c>
      <c r="U146" s="97">
        <f t="shared" si="17"/>
        <v>914.2576658852654</v>
      </c>
      <c r="V146" s="97">
        <f t="shared" si="17"/>
        <v>892.10440892667486</v>
      </c>
      <c r="W146" s="97">
        <f t="shared" si="17"/>
        <v>833.27698845964892</v>
      </c>
      <c r="X146" s="97">
        <f t="shared" si="17"/>
        <v>770.51373331539503</v>
      </c>
      <c r="Y146" s="97">
        <f t="shared" si="17"/>
        <v>693.54739155793322</v>
      </c>
      <c r="Z146" s="97">
        <f t="shared" si="17"/>
        <v>604.34811058613434</v>
      </c>
      <c r="AA146" s="97">
        <f t="shared" si="17"/>
        <v>504.58868475303751</v>
      </c>
      <c r="AB146" s="97">
        <f t="shared" si="17"/>
        <v>394.8647480483877</v>
      </c>
      <c r="AC146" s="97">
        <f t="shared" si="17"/>
        <v>279.19544452651797</v>
      </c>
      <c r="AD146" s="97">
        <f t="shared" si="17"/>
        <v>159.25635901030154</v>
      </c>
      <c r="AE146" s="97">
        <f t="shared" si="17"/>
        <v>42.802513302049036</v>
      </c>
      <c r="AF146" s="28"/>
      <c r="AG146" s="11"/>
    </row>
    <row r="147" spans="1:33">
      <c r="B147" s="24" t="s">
        <v>948</v>
      </c>
      <c r="D147" s="2" t="s">
        <v>949</v>
      </c>
      <c r="E147" s="24" t="s">
        <v>900</v>
      </c>
      <c r="H147" t="s">
        <v>853</v>
      </c>
      <c r="J147" s="2" t="s">
        <v>1022</v>
      </c>
      <c r="AF147" s="28"/>
      <c r="AG147" s="11"/>
    </row>
    <row r="148" spans="1:33">
      <c r="A148" t="s">
        <v>832</v>
      </c>
      <c r="C148" s="11"/>
      <c r="D148" s="24"/>
      <c r="G148" s="97">
        <f>SUM(H148:AE148)/48</f>
        <v>29.247876688939144</v>
      </c>
      <c r="H148" s="97">
        <f>H146*$O$20</f>
        <v>4.2802513302049041</v>
      </c>
      <c r="I148" s="97">
        <f t="shared" ref="I148:AE148" si="18">I146*$O$20</f>
        <v>15.925635901030155</v>
      </c>
      <c r="J148" s="97">
        <f t="shared" si="18"/>
        <v>27.919544452651799</v>
      </c>
      <c r="K148" s="97">
        <f t="shared" si="18"/>
        <v>39.486474804838771</v>
      </c>
      <c r="L148" s="97">
        <f t="shared" si="18"/>
        <v>50.458868475303753</v>
      </c>
      <c r="M148" s="97">
        <f t="shared" si="18"/>
        <v>60.434811058613434</v>
      </c>
      <c r="N148" s="97">
        <f t="shared" si="18"/>
        <v>69.354739155793325</v>
      </c>
      <c r="O148" s="97">
        <f t="shared" si="18"/>
        <v>77.051373331539509</v>
      </c>
      <c r="P148" s="97">
        <f t="shared" si="18"/>
        <v>83.327698845964903</v>
      </c>
      <c r="Q148" s="97">
        <f t="shared" si="18"/>
        <v>89.210440892667492</v>
      </c>
      <c r="R148" s="97">
        <f t="shared" si="18"/>
        <v>91.425766588526542</v>
      </c>
      <c r="S148" s="97">
        <f t="shared" si="18"/>
        <v>93.073435697404975</v>
      </c>
      <c r="T148" s="97">
        <f t="shared" si="18"/>
        <v>93.073435697404975</v>
      </c>
      <c r="U148" s="97">
        <f t="shared" si="18"/>
        <v>91.425766588526542</v>
      </c>
      <c r="V148" s="97">
        <f t="shared" si="18"/>
        <v>89.210440892667492</v>
      </c>
      <c r="W148" s="97">
        <f t="shared" si="18"/>
        <v>83.327698845964903</v>
      </c>
      <c r="X148" s="97">
        <f t="shared" si="18"/>
        <v>77.051373331539509</v>
      </c>
      <c r="Y148" s="97">
        <f t="shared" si="18"/>
        <v>69.354739155793325</v>
      </c>
      <c r="Z148" s="97">
        <f t="shared" si="18"/>
        <v>60.434811058613434</v>
      </c>
      <c r="AA148" s="97">
        <f t="shared" si="18"/>
        <v>50.458868475303753</v>
      </c>
      <c r="AB148" s="97">
        <f t="shared" si="18"/>
        <v>39.486474804838771</v>
      </c>
      <c r="AC148" s="97">
        <f t="shared" si="18"/>
        <v>27.919544452651799</v>
      </c>
      <c r="AD148" s="97">
        <f t="shared" si="18"/>
        <v>15.925635901030155</v>
      </c>
      <c r="AE148" s="97">
        <f t="shared" si="18"/>
        <v>4.2802513302049041</v>
      </c>
      <c r="AF148" s="28"/>
      <c r="AG148" s="11"/>
    </row>
    <row r="149" spans="1:33">
      <c r="B149" s="24" t="s">
        <v>912</v>
      </c>
      <c r="C149" s="14" t="s">
        <v>852</v>
      </c>
      <c r="D149" s="24" t="s">
        <v>851</v>
      </c>
      <c r="F149" s="27"/>
      <c r="AF149" s="28"/>
      <c r="AG149" s="11"/>
    </row>
    <row r="150" spans="1:33">
      <c r="A150" s="20" t="s">
        <v>833</v>
      </c>
      <c r="B150" s="11"/>
      <c r="C150" s="11"/>
      <c r="D150" s="11"/>
      <c r="E150" s="27"/>
      <c r="F150" s="6"/>
      <c r="G150" s="19">
        <f>SUM(H150:AE150)/48</f>
        <v>27.763127309823712</v>
      </c>
      <c r="H150" s="24">
        <f>H148*(1-($F$16+$F$13)*$H$142)</f>
        <v>4.0629671638167482</v>
      </c>
      <c r="I150" s="24">
        <f t="shared" ref="I150:AE150" si="19">I148*(1-($F$16+$F$13)*$H$142)</f>
        <v>15.117181384227056</v>
      </c>
      <c r="J150" s="24">
        <f t="shared" si="19"/>
        <v>26.502226992921905</v>
      </c>
      <c r="K150" s="24">
        <f t="shared" si="19"/>
        <v>37.481969671920417</v>
      </c>
      <c r="L150" s="24">
        <f t="shared" si="19"/>
        <v>47.89735693597526</v>
      </c>
      <c r="M150" s="24">
        <f t="shared" si="19"/>
        <v>57.366877302240319</v>
      </c>
      <c r="N150" s="24">
        <f t="shared" si="19"/>
        <v>65.833991068831537</v>
      </c>
      <c r="O150" s="24">
        <f t="shared" si="19"/>
        <v>73.139910631846888</v>
      </c>
      <c r="P150" s="24">
        <f t="shared" si="19"/>
        <v>79.097622576139401</v>
      </c>
      <c r="Q150" s="24">
        <f t="shared" si="19"/>
        <v>84.681731060678445</v>
      </c>
      <c r="R150" s="24">
        <f t="shared" si="19"/>
        <v>86.784597192841744</v>
      </c>
      <c r="S150" s="24">
        <f t="shared" si="19"/>
        <v>88.348623454329484</v>
      </c>
      <c r="T150" s="24">
        <f t="shared" si="19"/>
        <v>88.348623454329484</v>
      </c>
      <c r="U150" s="24">
        <f t="shared" si="19"/>
        <v>86.784597192841744</v>
      </c>
      <c r="V150" s="24">
        <f t="shared" si="19"/>
        <v>84.681731060678445</v>
      </c>
      <c r="W150" s="24">
        <f t="shared" si="19"/>
        <v>79.097622576139401</v>
      </c>
      <c r="X150" s="24">
        <f t="shared" si="19"/>
        <v>73.139910631846888</v>
      </c>
      <c r="Y150" s="24">
        <f t="shared" si="19"/>
        <v>65.833991068831537</v>
      </c>
      <c r="Z150" s="24">
        <f t="shared" si="19"/>
        <v>57.366877302240319</v>
      </c>
      <c r="AA150" s="24">
        <f t="shared" si="19"/>
        <v>47.89735693597526</v>
      </c>
      <c r="AB150" s="24">
        <f t="shared" si="19"/>
        <v>37.481969671920417</v>
      </c>
      <c r="AC150" s="24">
        <f t="shared" si="19"/>
        <v>26.502226992921905</v>
      </c>
      <c r="AD150" s="24">
        <f t="shared" si="19"/>
        <v>15.117181384227056</v>
      </c>
      <c r="AE150" s="24">
        <f t="shared" si="19"/>
        <v>4.0629671638167482</v>
      </c>
      <c r="AF150" s="28"/>
      <c r="AG150" s="11"/>
    </row>
    <row r="151" spans="1:33">
      <c r="A151" s="20"/>
      <c r="B151" s="24" t="s">
        <v>1023</v>
      </c>
      <c r="C151" s="11"/>
      <c r="D151" t="s">
        <v>1024</v>
      </c>
      <c r="G151" s="27"/>
      <c r="H151" s="24" t="s">
        <v>900</v>
      </c>
      <c r="K151" t="s">
        <v>853</v>
      </c>
      <c r="M151" s="28"/>
      <c r="O151" s="28"/>
      <c r="P151" s="28"/>
      <c r="Q151" s="11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11"/>
    </row>
    <row r="152" spans="1:33">
      <c r="A152" t="s">
        <v>834</v>
      </c>
      <c r="B152" s="5"/>
      <c r="C152" s="11"/>
      <c r="D152" s="5" t="s">
        <v>1025</v>
      </c>
      <c r="F152" t="s">
        <v>911</v>
      </c>
      <c r="G152" s="97">
        <f>SUM(H152:AE152)/48</f>
        <v>1.4556366461915973</v>
      </c>
      <c r="H152" s="97">
        <f t="shared" ref="H152:AE152" si="20">H148*$H142*$F$16</f>
        <v>0.21302369253740785</v>
      </c>
      <c r="I152" s="97">
        <f t="shared" si="20"/>
        <v>0.79260246745401852</v>
      </c>
      <c r="J152" s="97">
        <f t="shared" si="20"/>
        <v>1.3895269213038171</v>
      </c>
      <c r="K152" s="97">
        <f t="shared" si="20"/>
        <v>1.9652011107042628</v>
      </c>
      <c r="L152" s="97">
        <f t="shared" si="20"/>
        <v>2.5112858228710686</v>
      </c>
      <c r="M152" s="97">
        <f t="shared" si="20"/>
        <v>3.007778192522657</v>
      </c>
      <c r="N152" s="97">
        <f t="shared" si="20"/>
        <v>3.451713810746849</v>
      </c>
      <c r="O152" s="97">
        <f t="shared" si="20"/>
        <v>3.8347673526398132</v>
      </c>
      <c r="P152" s="97">
        <f t="shared" si="20"/>
        <v>4.1471335978681365</v>
      </c>
      <c r="Q152" s="97">
        <f t="shared" si="20"/>
        <v>4.439911599989256</v>
      </c>
      <c r="R152" s="97">
        <f t="shared" si="20"/>
        <v>4.5501660742007752</v>
      </c>
      <c r="S152" s="97">
        <f t="shared" si="20"/>
        <v>4.632168865760284</v>
      </c>
      <c r="T152" s="97">
        <f t="shared" si="20"/>
        <v>4.632168865760284</v>
      </c>
      <c r="U152" s="97">
        <f t="shared" si="20"/>
        <v>4.5501660742007752</v>
      </c>
      <c r="V152" s="97">
        <f t="shared" si="20"/>
        <v>4.439911599989256</v>
      </c>
      <c r="W152" s="97">
        <f t="shared" si="20"/>
        <v>4.1471335978681365</v>
      </c>
      <c r="X152" s="97">
        <f t="shared" si="20"/>
        <v>3.8347673526398132</v>
      </c>
      <c r="Y152" s="97">
        <f t="shared" si="20"/>
        <v>3.451713810746849</v>
      </c>
      <c r="Z152" s="97">
        <f t="shared" si="20"/>
        <v>3.007778192522657</v>
      </c>
      <c r="AA152" s="97">
        <f t="shared" si="20"/>
        <v>2.5112858228710686</v>
      </c>
      <c r="AB152" s="97">
        <f t="shared" si="20"/>
        <v>1.9652011107042628</v>
      </c>
      <c r="AC152" s="97">
        <f t="shared" si="20"/>
        <v>1.3895269213038171</v>
      </c>
      <c r="AD152" s="97">
        <f t="shared" si="20"/>
        <v>0.79260246745401852</v>
      </c>
      <c r="AE152" s="97">
        <f t="shared" si="20"/>
        <v>0.21302369253740785</v>
      </c>
      <c r="AF152" s="28"/>
      <c r="AG152" s="11"/>
    </row>
    <row r="153" spans="1:33">
      <c r="A153" t="s">
        <v>909</v>
      </c>
      <c r="B153" s="5"/>
      <c r="C153" s="11"/>
      <c r="D153" s="5" t="s">
        <v>850</v>
      </c>
      <c r="G153" s="97">
        <f>SUM(H153:AE153)/48</f>
        <v>0.14556366461915979</v>
      </c>
      <c r="H153" s="97">
        <f>H152*$O$20</f>
        <v>2.1302369253740787E-2</v>
      </c>
      <c r="I153" s="97">
        <f t="shared" ref="I153:AE153" si="21">I152*$O$20</f>
        <v>7.9260246745401858E-2</v>
      </c>
      <c r="J153" s="97">
        <f t="shared" si="21"/>
        <v>0.13895269213038172</v>
      </c>
      <c r="K153" s="97">
        <f t="shared" si="21"/>
        <v>0.1965201110704263</v>
      </c>
      <c r="L153" s="97">
        <f t="shared" si="21"/>
        <v>0.25112858228710688</v>
      </c>
      <c r="M153" s="97">
        <f t="shared" si="21"/>
        <v>0.30077781925226571</v>
      </c>
      <c r="N153" s="97">
        <f t="shared" si="21"/>
        <v>0.34517138107468492</v>
      </c>
      <c r="O153" s="97">
        <f t="shared" si="21"/>
        <v>0.38347673526398135</v>
      </c>
      <c r="P153" s="97">
        <f t="shared" si="21"/>
        <v>0.41471335978681367</v>
      </c>
      <c r="Q153" s="97">
        <f t="shared" si="21"/>
        <v>0.44399115999892563</v>
      </c>
      <c r="R153" s="97">
        <f t="shared" si="21"/>
        <v>0.45501660742007755</v>
      </c>
      <c r="S153" s="97">
        <f t="shared" si="21"/>
        <v>0.46321688657602844</v>
      </c>
      <c r="T153" s="97">
        <f t="shared" si="21"/>
        <v>0.46321688657602844</v>
      </c>
      <c r="U153" s="97">
        <f t="shared" si="21"/>
        <v>0.45501660742007755</v>
      </c>
      <c r="V153" s="97">
        <f t="shared" si="21"/>
        <v>0.44399115999892563</v>
      </c>
      <c r="W153" s="97">
        <f t="shared" si="21"/>
        <v>0.41471335978681367</v>
      </c>
      <c r="X153" s="97">
        <f t="shared" si="21"/>
        <v>0.38347673526398135</v>
      </c>
      <c r="Y153" s="97">
        <f t="shared" si="21"/>
        <v>0.34517138107468492</v>
      </c>
      <c r="Z153" s="97">
        <f t="shared" si="21"/>
        <v>0.30077781925226571</v>
      </c>
      <c r="AA153" s="97">
        <f t="shared" si="21"/>
        <v>0.25112858228710688</v>
      </c>
      <c r="AB153" s="97">
        <f t="shared" si="21"/>
        <v>0.1965201110704263</v>
      </c>
      <c r="AC153" s="97">
        <f t="shared" si="21"/>
        <v>0.13895269213038172</v>
      </c>
      <c r="AD153" s="97">
        <f t="shared" si="21"/>
        <v>7.9260246745401858E-2</v>
      </c>
      <c r="AE153" s="97">
        <f t="shared" si="21"/>
        <v>2.1302369253740787E-2</v>
      </c>
      <c r="AF153" s="28"/>
      <c r="AG153" s="11"/>
    </row>
    <row r="154" spans="1:33">
      <c r="A154" s="20" t="s">
        <v>835</v>
      </c>
      <c r="B154" s="5"/>
      <c r="C154" s="11"/>
      <c r="G154" s="19">
        <f>SUM(H154:AE154)/48</f>
        <v>0.13817422014892927</v>
      </c>
      <c r="H154" s="24">
        <f>H153*(1-($F$16+$F$13)*$H142)</f>
        <v>2.0220968376010045E-2</v>
      </c>
      <c r="I154" s="24">
        <f t="shared" ref="I154:AE154" si="22">I153*(1-($F$16+$F$13)*$H142)</f>
        <v>7.5236652027899656E-2</v>
      </c>
      <c r="J154" s="24">
        <f t="shared" si="22"/>
        <v>0.13189884936561708</v>
      </c>
      <c r="K154" s="24">
        <f t="shared" si="22"/>
        <v>0.18654389583953207</v>
      </c>
      <c r="L154" s="24">
        <f t="shared" si="22"/>
        <v>0.23838020364087414</v>
      </c>
      <c r="M154" s="24">
        <f t="shared" si="22"/>
        <v>0.28550902948212215</v>
      </c>
      <c r="N154" s="24">
        <f t="shared" si="22"/>
        <v>0.32764898110050605</v>
      </c>
      <c r="O154" s="24">
        <f t="shared" si="22"/>
        <v>0.3640097889743818</v>
      </c>
      <c r="P154" s="24">
        <f t="shared" si="22"/>
        <v>0.39366070663174868</v>
      </c>
      <c r="Q154" s="24">
        <f t="shared" si="22"/>
        <v>0.42145223841661317</v>
      </c>
      <c r="R154" s="24">
        <f t="shared" si="22"/>
        <v>0.43191798619231297</v>
      </c>
      <c r="S154" s="24">
        <f t="shared" si="22"/>
        <v>0.43970198352668549</v>
      </c>
      <c r="T154" s="24">
        <f t="shared" si="22"/>
        <v>0.43970198352668549</v>
      </c>
      <c r="U154" s="24">
        <f t="shared" si="22"/>
        <v>0.43191798619231297</v>
      </c>
      <c r="V154" s="24">
        <f t="shared" si="22"/>
        <v>0.42145223841661317</v>
      </c>
      <c r="W154" s="24">
        <f t="shared" si="22"/>
        <v>0.39366070663174868</v>
      </c>
      <c r="X154" s="24">
        <f t="shared" si="22"/>
        <v>0.3640097889743818</v>
      </c>
      <c r="Y154" s="24">
        <f t="shared" si="22"/>
        <v>0.32764898110050605</v>
      </c>
      <c r="Z154" s="24">
        <f t="shared" si="22"/>
        <v>0.28550902948212215</v>
      </c>
      <c r="AA154" s="24">
        <f t="shared" si="22"/>
        <v>0.23838020364087414</v>
      </c>
      <c r="AB154" s="24">
        <f t="shared" si="22"/>
        <v>0.18654389583953207</v>
      </c>
      <c r="AC154" s="24">
        <f t="shared" si="22"/>
        <v>0.13189884936561708</v>
      </c>
      <c r="AD154" s="24">
        <f t="shared" si="22"/>
        <v>7.5236652027899656E-2</v>
      </c>
      <c r="AE154" s="24">
        <f t="shared" si="22"/>
        <v>2.0220968376010045E-2</v>
      </c>
      <c r="AF154" s="28"/>
      <c r="AG154" s="11"/>
    </row>
    <row r="155" spans="1:33">
      <c r="A155" s="20"/>
      <c r="B155" s="24" t="s">
        <v>1026</v>
      </c>
      <c r="C155" s="11"/>
      <c r="D155" t="s">
        <v>1024</v>
      </c>
      <c r="G155" s="27"/>
      <c r="H155" s="24" t="s">
        <v>900</v>
      </c>
      <c r="K155" t="s">
        <v>853</v>
      </c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8"/>
      <c r="AG155" s="11"/>
    </row>
    <row r="156" spans="1:33">
      <c r="A156" s="100" t="s">
        <v>836</v>
      </c>
      <c r="B156" s="5"/>
      <c r="C156" s="11"/>
      <c r="G156" s="19">
        <f>SUM(H156:AE156)/48</f>
        <v>6.8767883749930498E-4</v>
      </c>
      <c r="H156" s="2">
        <f>H154^2/H150</f>
        <v>1.0063767330068444E-4</v>
      </c>
      <c r="I156" s="2">
        <f t="shared" ref="I156:AE156" si="23">I154^2/I150</f>
        <v>3.7444505457038163E-4</v>
      </c>
      <c r="J156" s="2">
        <f t="shared" si="23"/>
        <v>6.5644696457471804E-4</v>
      </c>
      <c r="K156" s="2">
        <f t="shared" si="23"/>
        <v>9.2840972285027871E-4</v>
      </c>
      <c r="L156" s="2">
        <f t="shared" si="23"/>
        <v>1.1863936785452103E-3</v>
      </c>
      <c r="M156" s="2">
        <f t="shared" si="23"/>
        <v>1.4209489822211382E-3</v>
      </c>
      <c r="N156" s="2">
        <f t="shared" si="23"/>
        <v>1.6306751736190183E-3</v>
      </c>
      <c r="O156" s="2">
        <f t="shared" si="23"/>
        <v>1.8116391628660113E-3</v>
      </c>
      <c r="P156" s="2">
        <f t="shared" si="23"/>
        <v>1.9592087208011181E-3</v>
      </c>
      <c r="Q156" s="2">
        <f t="shared" si="23"/>
        <v>2.0975243070916823E-3</v>
      </c>
      <c r="R156" s="2">
        <f t="shared" si="23"/>
        <v>2.1496112539635148E-3</v>
      </c>
      <c r="S156" s="2">
        <f t="shared" si="23"/>
        <v>2.1883514055795641E-3</v>
      </c>
      <c r="T156" s="2">
        <f t="shared" si="23"/>
        <v>2.1883514055795641E-3</v>
      </c>
      <c r="U156" s="2">
        <f t="shared" si="23"/>
        <v>2.1496112539635148E-3</v>
      </c>
      <c r="V156" s="2">
        <f t="shared" si="23"/>
        <v>2.0975243070916823E-3</v>
      </c>
      <c r="W156" s="2">
        <f t="shared" si="23"/>
        <v>1.9592087208011181E-3</v>
      </c>
      <c r="X156" s="2">
        <f t="shared" si="23"/>
        <v>1.8116391628660113E-3</v>
      </c>
      <c r="Y156" s="2">
        <f t="shared" si="23"/>
        <v>1.6306751736190183E-3</v>
      </c>
      <c r="Z156" s="2">
        <f t="shared" si="23"/>
        <v>1.4209489822211382E-3</v>
      </c>
      <c r="AA156" s="2">
        <f t="shared" si="23"/>
        <v>1.1863936785452103E-3</v>
      </c>
      <c r="AB156" s="2">
        <f t="shared" si="23"/>
        <v>9.2840972285027871E-4</v>
      </c>
      <c r="AC156" s="2">
        <f t="shared" si="23"/>
        <v>6.5644696457471804E-4</v>
      </c>
      <c r="AD156" s="2">
        <f t="shared" si="23"/>
        <v>3.7444505457038163E-4</v>
      </c>
      <c r="AE156" s="2">
        <f t="shared" si="23"/>
        <v>1.0063767330068444E-4</v>
      </c>
      <c r="AF156" s="28"/>
      <c r="AG156" s="11"/>
    </row>
    <row r="157" spans="1:33">
      <c r="A157" s="100"/>
      <c r="B157" s="24" t="s">
        <v>849</v>
      </c>
      <c r="C157" s="11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8"/>
      <c r="AG157" s="11"/>
    </row>
    <row r="158" spans="1:33">
      <c r="A158" s="20" t="s">
        <v>837</v>
      </c>
      <c r="B158" s="11"/>
      <c r="C158" s="11"/>
      <c r="D158" s="11"/>
      <c r="E158" s="27"/>
      <c r="F158" s="6"/>
      <c r="G158" s="19">
        <f>SUM(H158:AE158)/24</f>
        <v>329.9476999139369</v>
      </c>
      <c r="H158" s="24">
        <f t="shared" ref="H158:AE158" si="24">$O$24*(1-$H$142*(1-$F$14))</f>
        <v>329.94769991393684</v>
      </c>
      <c r="I158" s="24">
        <f t="shared" si="24"/>
        <v>329.94769991393684</v>
      </c>
      <c r="J158" s="24">
        <f t="shared" si="24"/>
        <v>329.94769991393684</v>
      </c>
      <c r="K158" s="24">
        <f t="shared" si="24"/>
        <v>329.94769991393684</v>
      </c>
      <c r="L158" s="24">
        <f t="shared" si="24"/>
        <v>329.94769991393684</v>
      </c>
      <c r="M158" s="24">
        <f t="shared" si="24"/>
        <v>329.94769991393684</v>
      </c>
      <c r="N158" s="24">
        <f t="shared" si="24"/>
        <v>329.94769991393684</v>
      </c>
      <c r="O158" s="24">
        <f t="shared" si="24"/>
        <v>329.94769991393684</v>
      </c>
      <c r="P158" s="24">
        <f t="shared" si="24"/>
        <v>329.94769991393684</v>
      </c>
      <c r="Q158" s="24">
        <f t="shared" si="24"/>
        <v>329.94769991393684</v>
      </c>
      <c r="R158" s="24">
        <f t="shared" si="24"/>
        <v>329.94769991393684</v>
      </c>
      <c r="S158" s="24">
        <f t="shared" si="24"/>
        <v>329.94769991393684</v>
      </c>
      <c r="T158" s="24">
        <f t="shared" si="24"/>
        <v>329.94769991393684</v>
      </c>
      <c r="U158" s="24">
        <f t="shared" si="24"/>
        <v>329.94769991393684</v>
      </c>
      <c r="V158" s="24">
        <f t="shared" si="24"/>
        <v>329.94769991393684</v>
      </c>
      <c r="W158" s="24">
        <f t="shared" si="24"/>
        <v>329.94769991393684</v>
      </c>
      <c r="X158" s="24">
        <f t="shared" si="24"/>
        <v>329.94769991393684</v>
      </c>
      <c r="Y158" s="24">
        <f t="shared" si="24"/>
        <v>329.94769991393684</v>
      </c>
      <c r="Z158" s="24">
        <f t="shared" si="24"/>
        <v>329.94769991393684</v>
      </c>
      <c r="AA158" s="24">
        <f t="shared" si="24"/>
        <v>329.94769991393684</v>
      </c>
      <c r="AB158" s="24">
        <f t="shared" si="24"/>
        <v>329.94769991393684</v>
      </c>
      <c r="AC158" s="24">
        <f t="shared" si="24"/>
        <v>329.94769991393684</v>
      </c>
      <c r="AD158" s="24">
        <f t="shared" si="24"/>
        <v>329.94769991393684</v>
      </c>
      <c r="AE158" s="24">
        <f t="shared" si="24"/>
        <v>329.94769991393684</v>
      </c>
      <c r="AF158" s="28"/>
      <c r="AG158" s="11"/>
    </row>
    <row r="159" spans="1:33">
      <c r="A159" s="20"/>
      <c r="B159" s="5" t="s">
        <v>848</v>
      </c>
      <c r="C159" s="11"/>
      <c r="D159" t="s">
        <v>846</v>
      </c>
      <c r="E159" s="2"/>
      <c r="G159" t="s">
        <v>847</v>
      </c>
      <c r="I159" s="11"/>
      <c r="J159" s="28"/>
      <c r="K159" s="2" t="s">
        <v>844</v>
      </c>
      <c r="L159" s="12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11"/>
    </row>
    <row r="160" spans="1:33">
      <c r="A160" s="12" t="s">
        <v>573</v>
      </c>
      <c r="B160" t="s">
        <v>839</v>
      </c>
      <c r="E160" s="12"/>
      <c r="F160" s="6"/>
      <c r="G160" s="32"/>
      <c r="H160" s="3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3">
      <c r="A161" s="11"/>
      <c r="B161" s="14" t="s">
        <v>870</v>
      </c>
      <c r="E161" s="12"/>
      <c r="F161" s="6"/>
      <c r="G161" s="32"/>
      <c r="H161" s="3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3">
      <c r="A162" s="11"/>
      <c r="B162" s="14" t="s">
        <v>845</v>
      </c>
      <c r="E162" s="12"/>
      <c r="F162" s="6"/>
      <c r="G162" s="32"/>
      <c r="H162" s="3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3">
      <c r="A163" s="11"/>
      <c r="B163" s="14" t="s">
        <v>842</v>
      </c>
      <c r="E163" s="12"/>
      <c r="F163" s="6"/>
      <c r="G163" s="32"/>
      <c r="H163" s="3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3">
      <c r="A164" s="20" t="s">
        <v>914</v>
      </c>
      <c r="B164" s="11"/>
      <c r="C164" s="11"/>
      <c r="D164" s="11"/>
      <c r="E164" s="27"/>
      <c r="F164" s="6"/>
      <c r="G164" s="19">
        <f>SUM(H164:AE164)/24</f>
        <v>12.551783676120003</v>
      </c>
      <c r="H164" s="24">
        <f t="shared" ref="H164:AE164" si="25">$M$9*($F$9+273)^4*$F$11*$H$18</f>
        <v>12.551783676119999</v>
      </c>
      <c r="I164" s="24">
        <f t="shared" si="25"/>
        <v>12.551783676119999</v>
      </c>
      <c r="J164" s="24">
        <f t="shared" si="25"/>
        <v>12.551783676119999</v>
      </c>
      <c r="K164" s="24">
        <f t="shared" si="25"/>
        <v>12.551783676119999</v>
      </c>
      <c r="L164" s="24">
        <f t="shared" si="25"/>
        <v>12.551783676119999</v>
      </c>
      <c r="M164" s="24">
        <f t="shared" si="25"/>
        <v>12.551783676119999</v>
      </c>
      <c r="N164" s="24">
        <f t="shared" si="25"/>
        <v>12.551783676119999</v>
      </c>
      <c r="O164" s="24">
        <f t="shared" si="25"/>
        <v>12.551783676119999</v>
      </c>
      <c r="P164" s="24">
        <f t="shared" si="25"/>
        <v>12.551783676119999</v>
      </c>
      <c r="Q164" s="24">
        <f t="shared" si="25"/>
        <v>12.551783676119999</v>
      </c>
      <c r="R164" s="24">
        <f t="shared" si="25"/>
        <v>12.551783676119999</v>
      </c>
      <c r="S164" s="24">
        <f t="shared" si="25"/>
        <v>12.551783676119999</v>
      </c>
      <c r="T164" s="24">
        <f t="shared" si="25"/>
        <v>12.551783676119999</v>
      </c>
      <c r="U164" s="24">
        <f t="shared" si="25"/>
        <v>12.551783676119999</v>
      </c>
      <c r="V164" s="24">
        <f t="shared" si="25"/>
        <v>12.551783676119999</v>
      </c>
      <c r="W164" s="24">
        <f t="shared" si="25"/>
        <v>12.551783676119999</v>
      </c>
      <c r="X164" s="24">
        <f t="shared" si="25"/>
        <v>12.551783676119999</v>
      </c>
      <c r="Y164" s="24">
        <f t="shared" si="25"/>
        <v>12.551783676119999</v>
      </c>
      <c r="Z164" s="24">
        <f t="shared" si="25"/>
        <v>12.551783676119999</v>
      </c>
      <c r="AA164" s="24">
        <f t="shared" si="25"/>
        <v>12.551783676119999</v>
      </c>
      <c r="AB164" s="24">
        <f t="shared" si="25"/>
        <v>12.551783676119999</v>
      </c>
      <c r="AC164" s="24">
        <f t="shared" si="25"/>
        <v>12.551783676119999</v>
      </c>
      <c r="AD164" s="24">
        <f t="shared" si="25"/>
        <v>12.551783676119999</v>
      </c>
      <c r="AE164" s="24">
        <f t="shared" si="25"/>
        <v>12.551783676119999</v>
      </c>
      <c r="AF164" s="28"/>
      <c r="AG164" s="11"/>
    </row>
    <row r="165" spans="1:33">
      <c r="A165" s="20"/>
      <c r="B165" s="5" t="s">
        <v>272</v>
      </c>
      <c r="C165" s="11"/>
      <c r="D165" t="s">
        <v>743</v>
      </c>
      <c r="E165" s="27"/>
      <c r="F165" s="6"/>
      <c r="G165" s="28"/>
      <c r="H165" t="s">
        <v>717</v>
      </c>
      <c r="I165" s="29"/>
      <c r="J165" s="11"/>
      <c r="K165" s="2" t="s">
        <v>273</v>
      </c>
      <c r="L165" s="11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11"/>
    </row>
    <row r="166" spans="1:33">
      <c r="A166" s="20"/>
      <c r="B166" s="27" t="s">
        <v>925</v>
      </c>
      <c r="C166" s="11" t="s">
        <v>266</v>
      </c>
      <c r="E166" s="27"/>
      <c r="F166" s="6"/>
      <c r="G166" s="28"/>
      <c r="I166" s="29"/>
      <c r="J166" s="11"/>
      <c r="K166" s="2"/>
      <c r="L166" s="11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11"/>
    </row>
    <row r="167" spans="1:33">
      <c r="A167" s="20"/>
      <c r="B167" s="14"/>
      <c r="C167" t="s">
        <v>274</v>
      </c>
      <c r="E167" s="27"/>
      <c r="F167" s="6"/>
      <c r="G167" s="28"/>
      <c r="I167" s="29"/>
      <c r="J167" s="11"/>
      <c r="K167" s="2"/>
      <c r="L167" s="11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11"/>
    </row>
    <row r="168" spans="1:33">
      <c r="A168" s="20"/>
      <c r="B168" s="16" t="s">
        <v>332</v>
      </c>
      <c r="C168" s="11"/>
      <c r="D168" s="11"/>
      <c r="E168" s="27"/>
      <c r="F168" s="6"/>
      <c r="G168" s="32">
        <f>G143+G150+G154+G156+G164+G158</f>
        <v>386.39688092453065</v>
      </c>
      <c r="H168" s="33"/>
      <c r="I168" s="29"/>
      <c r="J168" s="28"/>
      <c r="K168" s="11"/>
      <c r="L168" s="11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11"/>
    </row>
    <row r="169" spans="1:33">
      <c r="A169" s="20"/>
      <c r="B169" s="16" t="s">
        <v>721</v>
      </c>
      <c r="G169" s="32">
        <f>G132-G168</f>
        <v>10.094658890226015</v>
      </c>
      <c r="H169" s="33"/>
      <c r="I169" s="8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3">
      <c r="A170" s="39" t="s">
        <v>501</v>
      </c>
      <c r="B170" s="16"/>
      <c r="G170" s="32"/>
      <c r="H170" s="3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3">
      <c r="A171" s="3" t="s">
        <v>771</v>
      </c>
      <c r="G171" t="s">
        <v>535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3">
      <c r="A172" s="12" t="s">
        <v>822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3">
      <c r="A173" s="3"/>
      <c r="B173" s="12" t="s">
        <v>732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3">
      <c r="A174" s="12" t="s">
        <v>823</v>
      </c>
      <c r="B174" s="1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3">
      <c r="A175" s="12" t="s">
        <v>871</v>
      </c>
      <c r="B175" s="1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3">
      <c r="A176" s="12"/>
      <c r="B176" s="12" t="s">
        <v>872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3">
      <c r="A177" s="20" t="s">
        <v>873</v>
      </c>
      <c r="B177" s="11"/>
      <c r="C177" s="11"/>
      <c r="D177" s="11"/>
      <c r="E177" s="14" t="s">
        <v>563</v>
      </c>
      <c r="F177" s="31">
        <f>$F$15</f>
        <v>0.7</v>
      </c>
      <c r="G177" s="19">
        <f>SUM(H177:AE177)/48</f>
        <v>147.66718189948793</v>
      </c>
      <c r="H177" s="2">
        <f t="shared" ref="H177:AE177" si="26">H$63*H$27*$F$15</f>
        <v>0</v>
      </c>
      <c r="I177" s="2">
        <f t="shared" si="26"/>
        <v>0</v>
      </c>
      <c r="J177" s="2">
        <f t="shared" si="26"/>
        <v>0</v>
      </c>
      <c r="K177" s="2">
        <f t="shared" si="26"/>
        <v>0</v>
      </c>
      <c r="L177" s="2">
        <f t="shared" si="26"/>
        <v>0</v>
      </c>
      <c r="M177" s="2">
        <f t="shared" si="26"/>
        <v>0</v>
      </c>
      <c r="N177" s="2">
        <f t="shared" si="26"/>
        <v>0</v>
      </c>
      <c r="O177" s="2">
        <f t="shared" si="26"/>
        <v>0</v>
      </c>
      <c r="P177" s="2">
        <f t="shared" si="26"/>
        <v>607.50267349561011</v>
      </c>
      <c r="Q177" s="2">
        <f t="shared" si="26"/>
        <v>648.68547157612727</v>
      </c>
      <c r="R177" s="2">
        <f t="shared" si="26"/>
        <v>664.11765496191197</v>
      </c>
      <c r="S177" s="2">
        <f t="shared" si="26"/>
        <v>675.56679592438286</v>
      </c>
      <c r="T177" s="2">
        <f t="shared" si="26"/>
        <v>675.56679592438286</v>
      </c>
      <c r="U177" s="2">
        <f t="shared" si="26"/>
        <v>664.11765496191197</v>
      </c>
      <c r="V177" s="2">
        <f t="shared" si="26"/>
        <v>648.68547157612727</v>
      </c>
      <c r="W177" s="2">
        <f t="shared" si="26"/>
        <v>607.50267349561011</v>
      </c>
      <c r="X177" s="2">
        <f t="shared" si="26"/>
        <v>563.26208564073056</v>
      </c>
      <c r="Y177" s="2">
        <f t="shared" si="26"/>
        <v>509.48526912040114</v>
      </c>
      <c r="Z177" s="2">
        <f t="shared" si="26"/>
        <v>446.87620477863101</v>
      </c>
      <c r="AA177" s="2">
        <f t="shared" si="26"/>
        <v>376.65597971959266</v>
      </c>
      <c r="AB177" s="2">
        <f t="shared" si="26"/>
        <v>0</v>
      </c>
      <c r="AC177" s="2">
        <f t="shared" si="26"/>
        <v>0</v>
      </c>
      <c r="AD177" s="2">
        <f t="shared" si="26"/>
        <v>0</v>
      </c>
      <c r="AE177" s="2">
        <f t="shared" si="26"/>
        <v>0</v>
      </c>
      <c r="AF177" s="2"/>
    </row>
    <row r="178" spans="1:33">
      <c r="A178" s="5"/>
      <c r="B178" s="5" t="s">
        <v>862</v>
      </c>
      <c r="C178" s="11"/>
      <c r="D178" t="s">
        <v>859</v>
      </c>
      <c r="E178" s="12"/>
      <c r="F178" s="18"/>
      <c r="G178" s="19"/>
      <c r="H178" s="2" t="s">
        <v>860</v>
      </c>
      <c r="I178" s="2"/>
      <c r="J178" s="2" t="s">
        <v>861</v>
      </c>
      <c r="K178" s="26"/>
      <c r="L178" s="2"/>
      <c r="M178" s="2"/>
      <c r="N178" s="2"/>
      <c r="O178" s="26"/>
      <c r="P178" s="2"/>
      <c r="Q178" s="2"/>
      <c r="R178" s="26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3">
      <c r="A179" s="20" t="s">
        <v>874</v>
      </c>
      <c r="G179" s="19">
        <f>SUM(H179:AE179)/48</f>
        <v>9.8368348970798056</v>
      </c>
      <c r="H179" s="2">
        <f>H$63*$O$20*H$28^2</f>
        <v>6.3917870910841712</v>
      </c>
      <c r="I179" s="2">
        <f t="shared" ref="I179:AE179" si="27">I$63*$O$20*I$28^2</f>
        <v>18.954080916205282</v>
      </c>
      <c r="J179" s="2">
        <f t="shared" si="27"/>
        <v>31.169105485023806</v>
      </c>
      <c r="K179" s="2">
        <f t="shared" si="27"/>
        <v>42.854806817081112</v>
      </c>
      <c r="L179" s="2">
        <f t="shared" si="27"/>
        <v>53.807997102798964</v>
      </c>
      <c r="M179" s="2">
        <f t="shared" si="27"/>
        <v>63.839457825518721</v>
      </c>
      <c r="N179" s="2">
        <f t="shared" si="27"/>
        <v>72.783609874343028</v>
      </c>
      <c r="O179" s="2">
        <f t="shared" si="27"/>
        <v>80.466012234390092</v>
      </c>
      <c r="P179" s="2">
        <f t="shared" si="27"/>
        <v>0.21696524053414687</v>
      </c>
      <c r="Q179" s="2">
        <f t="shared" si="27"/>
        <v>0.23167338270576018</v>
      </c>
      <c r="R179" s="2">
        <f t="shared" si="27"/>
        <v>0.23718487677211186</v>
      </c>
      <c r="S179" s="2">
        <f t="shared" si="27"/>
        <v>0.24127385568728005</v>
      </c>
      <c r="T179" s="2">
        <f t="shared" si="27"/>
        <v>0.24127385568728005</v>
      </c>
      <c r="U179" s="2">
        <f t="shared" si="27"/>
        <v>0.23718487677211186</v>
      </c>
      <c r="V179" s="2">
        <f t="shared" si="27"/>
        <v>0.23167338270576018</v>
      </c>
      <c r="W179" s="2">
        <f t="shared" si="27"/>
        <v>0.21696524053414687</v>
      </c>
      <c r="X179" s="2">
        <f t="shared" si="27"/>
        <v>0.2011650305859756</v>
      </c>
      <c r="Y179" s="2">
        <f t="shared" si="27"/>
        <v>0.1819590246858579</v>
      </c>
      <c r="Z179" s="2">
        <f t="shared" si="27"/>
        <v>0.15959864456379708</v>
      </c>
      <c r="AA179" s="2">
        <f t="shared" si="27"/>
        <v>0.13451999275699764</v>
      </c>
      <c r="AB179" s="2">
        <f t="shared" si="27"/>
        <v>42.854806817081112</v>
      </c>
      <c r="AC179" s="2">
        <f t="shared" si="27"/>
        <v>31.169105485023806</v>
      </c>
      <c r="AD179" s="2">
        <f t="shared" si="27"/>
        <v>18.954080916205282</v>
      </c>
      <c r="AE179" s="2">
        <f t="shared" si="27"/>
        <v>6.3917870910841712</v>
      </c>
      <c r="AF179" s="2"/>
    </row>
    <row r="180" spans="1:33">
      <c r="A180" s="16"/>
      <c r="B180" s="5" t="s">
        <v>863</v>
      </c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3">
      <c r="A181" s="16"/>
      <c r="B181" s="12" t="s">
        <v>858</v>
      </c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3">
      <c r="A182" s="20" t="s">
        <v>875</v>
      </c>
      <c r="E182" s="12"/>
      <c r="F182" s="6"/>
      <c r="G182" s="19">
        <f>(SUM(H182:AE182)+24*$O$24)/48</f>
        <v>274.20909862274999</v>
      </c>
      <c r="H182" s="2">
        <f>$O$24*(1-H$27)</f>
        <v>365.61213149700001</v>
      </c>
      <c r="I182" s="2">
        <f t="shared" ref="I182:AE182" si="28">$O$24*(1-I$27)</f>
        <v>365.61213149700001</v>
      </c>
      <c r="J182" s="2">
        <f t="shared" si="28"/>
        <v>365.61213149700001</v>
      </c>
      <c r="K182" s="2">
        <f t="shared" si="28"/>
        <v>365.61213149700001</v>
      </c>
      <c r="L182" s="2">
        <f t="shared" si="28"/>
        <v>365.61213149700001</v>
      </c>
      <c r="M182" s="2">
        <f t="shared" si="28"/>
        <v>365.61213149700001</v>
      </c>
      <c r="N182" s="2">
        <f t="shared" si="28"/>
        <v>365.61213149700001</v>
      </c>
      <c r="O182" s="2">
        <f t="shared" si="28"/>
        <v>365.61213149700001</v>
      </c>
      <c r="P182" s="2">
        <f t="shared" si="28"/>
        <v>0</v>
      </c>
      <c r="Q182" s="2">
        <f t="shared" si="28"/>
        <v>0</v>
      </c>
      <c r="R182" s="2">
        <f t="shared" si="28"/>
        <v>0</v>
      </c>
      <c r="S182" s="2">
        <f t="shared" si="28"/>
        <v>0</v>
      </c>
      <c r="T182" s="2">
        <f t="shared" si="28"/>
        <v>0</v>
      </c>
      <c r="U182" s="2">
        <f t="shared" si="28"/>
        <v>0</v>
      </c>
      <c r="V182" s="2">
        <f t="shared" si="28"/>
        <v>0</v>
      </c>
      <c r="W182" s="2">
        <f t="shared" si="28"/>
        <v>0</v>
      </c>
      <c r="X182" s="2">
        <f t="shared" si="28"/>
        <v>0</v>
      </c>
      <c r="Y182" s="2">
        <f t="shared" si="28"/>
        <v>0</v>
      </c>
      <c r="Z182" s="2">
        <f t="shared" si="28"/>
        <v>0</v>
      </c>
      <c r="AA182" s="2">
        <f t="shared" si="28"/>
        <v>0</v>
      </c>
      <c r="AB182" s="2">
        <f t="shared" si="28"/>
        <v>365.61213149700001</v>
      </c>
      <c r="AC182" s="2">
        <f t="shared" si="28"/>
        <v>365.61213149700001</v>
      </c>
      <c r="AD182" s="2">
        <f t="shared" si="28"/>
        <v>365.61213149700001</v>
      </c>
      <c r="AE182" s="2">
        <f t="shared" si="28"/>
        <v>365.61213149700001</v>
      </c>
      <c r="AF182" s="2"/>
    </row>
    <row r="183" spans="1:33">
      <c r="A183" s="20"/>
      <c r="C183" s="5" t="s">
        <v>864</v>
      </c>
      <c r="D183" t="s">
        <v>857</v>
      </c>
      <c r="E183" s="12"/>
      <c r="F183" s="6"/>
      <c r="G183" s="19"/>
      <c r="H183" s="2" t="s">
        <v>860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3">
      <c r="A184" s="20"/>
      <c r="B184" s="12" t="s">
        <v>858</v>
      </c>
      <c r="C184" s="5"/>
      <c r="E184" s="12"/>
      <c r="F184" s="6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3">
      <c r="A185" s="20" t="s">
        <v>876</v>
      </c>
      <c r="E185" s="12">
        <f>$F$7</f>
        <v>-5</v>
      </c>
      <c r="F185" s="6" t="s">
        <v>558</v>
      </c>
      <c r="G185" s="19">
        <f>SUM(H185:AE185)/48</f>
        <v>73.51128940800001</v>
      </c>
      <c r="H185" s="2">
        <f t="shared" ref="H185:AE185" si="29">$M$9*($F$7+273)^4*H$27</f>
        <v>0</v>
      </c>
      <c r="I185" s="2">
        <f t="shared" si="29"/>
        <v>0</v>
      </c>
      <c r="J185" s="2">
        <f t="shared" si="29"/>
        <v>0</v>
      </c>
      <c r="K185" s="2">
        <f t="shared" si="29"/>
        <v>0</v>
      </c>
      <c r="L185" s="2">
        <f t="shared" si="29"/>
        <v>0</v>
      </c>
      <c r="M185" s="2">
        <f t="shared" si="29"/>
        <v>0</v>
      </c>
      <c r="N185" s="2">
        <f t="shared" si="29"/>
        <v>0</v>
      </c>
      <c r="O185" s="2">
        <f t="shared" si="29"/>
        <v>0</v>
      </c>
      <c r="P185" s="2">
        <f t="shared" si="29"/>
        <v>294.04515763199998</v>
      </c>
      <c r="Q185" s="2">
        <f t="shared" si="29"/>
        <v>294.04515763199998</v>
      </c>
      <c r="R185" s="2">
        <f t="shared" si="29"/>
        <v>294.04515763199998</v>
      </c>
      <c r="S185" s="2">
        <f t="shared" si="29"/>
        <v>294.04515763199998</v>
      </c>
      <c r="T185" s="2">
        <f t="shared" si="29"/>
        <v>294.04515763199998</v>
      </c>
      <c r="U185" s="2">
        <f t="shared" si="29"/>
        <v>294.04515763199998</v>
      </c>
      <c r="V185" s="2">
        <f t="shared" si="29"/>
        <v>294.04515763199998</v>
      </c>
      <c r="W185" s="2">
        <f t="shared" si="29"/>
        <v>294.04515763199998</v>
      </c>
      <c r="X185" s="2">
        <f t="shared" si="29"/>
        <v>294.04515763199998</v>
      </c>
      <c r="Y185" s="2">
        <f t="shared" si="29"/>
        <v>294.04515763199998</v>
      </c>
      <c r="Z185" s="2">
        <f t="shared" si="29"/>
        <v>294.04515763199998</v>
      </c>
      <c r="AA185" s="2">
        <f t="shared" si="29"/>
        <v>294.04515763199998</v>
      </c>
      <c r="AB185" s="2">
        <f t="shared" si="29"/>
        <v>0</v>
      </c>
      <c r="AC185" s="2">
        <f t="shared" si="29"/>
        <v>0</v>
      </c>
      <c r="AD185" s="2">
        <f t="shared" si="29"/>
        <v>0</v>
      </c>
      <c r="AE185" s="2">
        <f t="shared" si="29"/>
        <v>0</v>
      </c>
      <c r="AF185" s="2"/>
    </row>
    <row r="186" spans="1:33">
      <c r="A186" s="20"/>
      <c r="B186" t="s">
        <v>865</v>
      </c>
      <c r="D186" t="s">
        <v>743</v>
      </c>
      <c r="E186" s="30"/>
      <c r="F186" s="6"/>
      <c r="G186" s="19"/>
      <c r="H186" t="s">
        <v>617</v>
      </c>
      <c r="I186" s="2"/>
      <c r="K186" s="2" t="s">
        <v>860</v>
      </c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3">
      <c r="A187" s="20"/>
      <c r="B187" s="16" t="s">
        <v>724</v>
      </c>
      <c r="E187" s="30"/>
      <c r="F187" s="6"/>
      <c r="G187" s="32">
        <f>G177+G179+G182+G185</f>
        <v>505.2244048273177</v>
      </c>
      <c r="H187" s="3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3">
      <c r="A188" s="39" t="s">
        <v>501</v>
      </c>
      <c r="B188" s="16"/>
      <c r="E188" s="30"/>
      <c r="F188" s="6"/>
      <c r="G188" s="32"/>
      <c r="H188" s="33"/>
      <c r="I188" s="3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3">
      <c r="A189" s="3" t="s">
        <v>320</v>
      </c>
      <c r="E189" s="12"/>
      <c r="F189" s="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3">
      <c r="A190" s="3" t="s">
        <v>877</v>
      </c>
      <c r="G190" s="19">
        <f>SUM(H190:AE190)/48</f>
        <v>15.995408125663628</v>
      </c>
      <c r="H190" s="24">
        <f>H$63*H$141*$F$16</f>
        <v>20.701330989012423</v>
      </c>
      <c r="I190" s="24">
        <f>I$63*I$141*$F$16</f>
        <v>29.690637403677691</v>
      </c>
      <c r="J190" s="24">
        <f t="shared" ref="J190:AE190" si="30">J$63*J$141*$F$16</f>
        <v>31.858441493843216</v>
      </c>
      <c r="K190" s="24">
        <f t="shared" si="30"/>
        <v>33.022862865121006</v>
      </c>
      <c r="L190" s="24">
        <f t="shared" si="30"/>
        <v>32.8345943872079</v>
      </c>
      <c r="M190" s="24">
        <f t="shared" si="30"/>
        <v>33.378889871620501</v>
      </c>
      <c r="N190" s="24">
        <f t="shared" si="30"/>
        <v>33.61637959362448</v>
      </c>
      <c r="O190" s="24">
        <f t="shared" si="30"/>
        <v>33.476851988731262</v>
      </c>
      <c r="P190" s="24">
        <f t="shared" si="30"/>
        <v>33.905856546016672</v>
      </c>
      <c r="Q190" s="24">
        <f t="shared" si="30"/>
        <v>33.910903819964894</v>
      </c>
      <c r="R190" s="24">
        <f t="shared" si="30"/>
        <v>33.805726669784605</v>
      </c>
      <c r="S190" s="24">
        <f t="shared" si="30"/>
        <v>33.687319387322411</v>
      </c>
      <c r="T190" s="24">
        <f t="shared" si="30"/>
        <v>33.687319387322411</v>
      </c>
      <c r="U190" s="24">
        <f t="shared" si="30"/>
        <v>33.805726669784605</v>
      </c>
      <c r="V190" s="24">
        <f t="shared" si="30"/>
        <v>33.910903819964894</v>
      </c>
      <c r="W190" s="24">
        <f t="shared" si="30"/>
        <v>33.905856546016672</v>
      </c>
      <c r="X190" s="24">
        <f t="shared" si="30"/>
        <v>33.476851988731262</v>
      </c>
      <c r="Y190" s="24">
        <f t="shared" si="30"/>
        <v>33.61637959362448</v>
      </c>
      <c r="Z190" s="24">
        <f t="shared" si="30"/>
        <v>33.378889871620501</v>
      </c>
      <c r="AA190" s="24">
        <f t="shared" si="30"/>
        <v>32.8345943872079</v>
      </c>
      <c r="AB190" s="24">
        <f t="shared" si="30"/>
        <v>33.022862865121006</v>
      </c>
      <c r="AC190" s="24">
        <f t="shared" si="30"/>
        <v>31.858441493843216</v>
      </c>
      <c r="AD190" s="24">
        <f t="shared" si="30"/>
        <v>29.690637403677691</v>
      </c>
      <c r="AE190" s="24">
        <f t="shared" si="30"/>
        <v>20.701330989012423</v>
      </c>
      <c r="AF190" s="2"/>
    </row>
    <row r="191" spans="1:33">
      <c r="B191" s="5" t="s">
        <v>1021</v>
      </c>
      <c r="D191" t="s">
        <v>767</v>
      </c>
      <c r="G191" t="s">
        <v>866</v>
      </c>
      <c r="J191" s="2"/>
      <c r="K191" s="2" t="s">
        <v>1027</v>
      </c>
      <c r="L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3">
      <c r="A192" t="s">
        <v>879</v>
      </c>
      <c r="C192" s="11"/>
      <c r="G192" s="98">
        <f>SUM(H192:AE192)/48</f>
        <v>292.47876688939147</v>
      </c>
      <c r="H192" s="97">
        <f>H$63*(1-($F$16+$F$13)*H$141)</f>
        <v>42.802513302049036</v>
      </c>
      <c r="I192" s="97">
        <f t="shared" ref="I192:AE192" si="31">I$63*(1-($F$16+$F$13)*I$141)</f>
        <v>159.25635901030154</v>
      </c>
      <c r="J192" s="97">
        <f t="shared" si="31"/>
        <v>279.19544452651797</v>
      </c>
      <c r="K192" s="97">
        <f t="shared" si="31"/>
        <v>394.8647480483877</v>
      </c>
      <c r="L192" s="97">
        <f t="shared" si="31"/>
        <v>504.58868475303751</v>
      </c>
      <c r="M192" s="97">
        <f t="shared" si="31"/>
        <v>604.34811058613434</v>
      </c>
      <c r="N192" s="97">
        <f t="shared" si="31"/>
        <v>693.54739155793322</v>
      </c>
      <c r="O192" s="97">
        <f t="shared" si="31"/>
        <v>770.51373331539503</v>
      </c>
      <c r="P192" s="97">
        <f t="shared" si="31"/>
        <v>833.27698845964892</v>
      </c>
      <c r="Q192" s="97">
        <f t="shared" si="31"/>
        <v>892.10440892667486</v>
      </c>
      <c r="R192" s="97">
        <f t="shared" si="31"/>
        <v>914.2576658852654</v>
      </c>
      <c r="S192" s="97">
        <f t="shared" si="31"/>
        <v>930.73435697404966</v>
      </c>
      <c r="T192" s="97">
        <f t="shared" si="31"/>
        <v>930.73435697404966</v>
      </c>
      <c r="U192" s="97">
        <f t="shared" si="31"/>
        <v>914.2576658852654</v>
      </c>
      <c r="V192" s="97">
        <f t="shared" si="31"/>
        <v>892.10440892667486</v>
      </c>
      <c r="W192" s="97">
        <f t="shared" si="31"/>
        <v>833.27698845964892</v>
      </c>
      <c r="X192" s="97">
        <f t="shared" si="31"/>
        <v>770.51373331539503</v>
      </c>
      <c r="Y192" s="97">
        <f t="shared" si="31"/>
        <v>693.54739155793322</v>
      </c>
      <c r="Z192" s="97">
        <f t="shared" si="31"/>
        <v>604.34811058613434</v>
      </c>
      <c r="AA192" s="97">
        <f t="shared" si="31"/>
        <v>504.58868475303751</v>
      </c>
      <c r="AB192" s="97">
        <f t="shared" si="31"/>
        <v>394.8647480483877</v>
      </c>
      <c r="AC192" s="97">
        <f t="shared" si="31"/>
        <v>279.19544452651797</v>
      </c>
      <c r="AD192" s="97">
        <f t="shared" si="31"/>
        <v>159.25635901030154</v>
      </c>
      <c r="AE192" s="97">
        <f t="shared" si="31"/>
        <v>42.802513302049036</v>
      </c>
      <c r="AF192" s="28"/>
      <c r="AG192" s="11"/>
    </row>
    <row r="193" spans="1:33">
      <c r="B193" s="24" t="s">
        <v>948</v>
      </c>
      <c r="D193" s="2" t="s">
        <v>949</v>
      </c>
      <c r="E193" s="24" t="s">
        <v>880</v>
      </c>
      <c r="G193" t="s">
        <v>853</v>
      </c>
      <c r="I193" t="s">
        <v>950</v>
      </c>
      <c r="AF193" s="28"/>
      <c r="AG193" s="11"/>
    </row>
    <row r="194" spans="1:33">
      <c r="A194" t="s">
        <v>878</v>
      </c>
      <c r="C194" s="11"/>
      <c r="D194" s="24"/>
      <c r="G194" s="97">
        <f>SUM(H194:AE194)/48</f>
        <v>150.66968619773635</v>
      </c>
      <c r="H194" s="97">
        <f>H192*($O$20*(1-H$27)+$F$15*H$27)</f>
        <v>4.2802513302049041</v>
      </c>
      <c r="I194" s="97">
        <f t="shared" ref="I194:AE194" si="32">I192*($O$20*(1-I$27)+$F$15*I$27)</f>
        <v>15.925635901030155</v>
      </c>
      <c r="J194" s="97">
        <f t="shared" si="32"/>
        <v>27.919544452651799</v>
      </c>
      <c r="K194" s="97">
        <f t="shared" si="32"/>
        <v>39.486474804838771</v>
      </c>
      <c r="L194" s="97">
        <f t="shared" si="32"/>
        <v>50.458868475303753</v>
      </c>
      <c r="M194" s="97">
        <f t="shared" si="32"/>
        <v>60.434811058613434</v>
      </c>
      <c r="N194" s="97">
        <f t="shared" si="32"/>
        <v>69.354739155793325</v>
      </c>
      <c r="O194" s="97">
        <f t="shared" si="32"/>
        <v>77.051373331539509</v>
      </c>
      <c r="P194" s="97">
        <f t="shared" si="32"/>
        <v>583.29389192175415</v>
      </c>
      <c r="Q194" s="97">
        <f t="shared" si="32"/>
        <v>624.47308624867242</v>
      </c>
      <c r="R194" s="97">
        <f t="shared" si="32"/>
        <v>639.98036611968575</v>
      </c>
      <c r="S194" s="97">
        <f t="shared" si="32"/>
        <v>651.51404988183469</v>
      </c>
      <c r="T194" s="97">
        <f t="shared" si="32"/>
        <v>651.51404988183469</v>
      </c>
      <c r="U194" s="97">
        <f t="shared" si="32"/>
        <v>639.98036611968575</v>
      </c>
      <c r="V194" s="97">
        <f t="shared" si="32"/>
        <v>624.47308624867242</v>
      </c>
      <c r="W194" s="97">
        <f t="shared" si="32"/>
        <v>583.29389192175415</v>
      </c>
      <c r="X194" s="97">
        <f t="shared" si="32"/>
        <v>539.35961332077648</v>
      </c>
      <c r="Y194" s="97">
        <f t="shared" si="32"/>
        <v>485.48317409055323</v>
      </c>
      <c r="Z194" s="97">
        <f t="shared" si="32"/>
        <v>423.04367741029404</v>
      </c>
      <c r="AA194" s="97">
        <f t="shared" si="32"/>
        <v>353.21207932712622</v>
      </c>
      <c r="AB194" s="97">
        <f t="shared" si="32"/>
        <v>39.486474804838771</v>
      </c>
      <c r="AC194" s="97">
        <f t="shared" si="32"/>
        <v>27.919544452651799</v>
      </c>
      <c r="AD194" s="97">
        <f t="shared" si="32"/>
        <v>15.925635901030155</v>
      </c>
      <c r="AE194" s="97">
        <f t="shared" si="32"/>
        <v>4.2802513302049041</v>
      </c>
      <c r="AF194" s="28"/>
      <c r="AG194" s="11"/>
    </row>
    <row r="195" spans="1:33">
      <c r="B195" s="24" t="s">
        <v>917</v>
      </c>
      <c r="D195" s="14" t="s">
        <v>852</v>
      </c>
      <c r="G195" t="s">
        <v>888</v>
      </c>
      <c r="I195" s="24" t="s">
        <v>889</v>
      </c>
      <c r="M195" s="2" t="s">
        <v>860</v>
      </c>
      <c r="AF195" s="28"/>
      <c r="AG195" s="11"/>
    </row>
    <row r="196" spans="1:33" ht="18">
      <c r="A196" s="20" t="s">
        <v>881</v>
      </c>
      <c r="G196" s="19">
        <f>SUM(H196:AE196)/48</f>
        <v>134.7205150200121</v>
      </c>
      <c r="H196" s="2">
        <f>H$63*H$27*$F$15*(1-H$141*$F$16)*(1-$H$142*$F$16)</f>
        <v>0</v>
      </c>
      <c r="I196" s="2">
        <f>I$63*I$27*$F$15*(1-I$141*$F$16)*(1-$H$142*$F$16)</f>
        <v>0</v>
      </c>
      <c r="J196" s="2">
        <f t="shared" ref="J196:AE196" si="33">J$63*J$27*$F$15*(1-J$141*$F$16)*(1-$H$142*$F$16)</f>
        <v>0</v>
      </c>
      <c r="K196" s="2">
        <f t="shared" si="33"/>
        <v>0</v>
      </c>
      <c r="L196" s="2">
        <f t="shared" si="33"/>
        <v>0</v>
      </c>
      <c r="M196" s="2">
        <f t="shared" si="33"/>
        <v>0</v>
      </c>
      <c r="N196" s="2">
        <f t="shared" si="33"/>
        <v>0</v>
      </c>
      <c r="O196" s="2">
        <f t="shared" si="33"/>
        <v>0</v>
      </c>
      <c r="P196" s="2">
        <f t="shared" si="33"/>
        <v>554.71501429535238</v>
      </c>
      <c r="Q196" s="2">
        <f t="shared" si="33"/>
        <v>593.84482975249136</v>
      </c>
      <c r="R196" s="2">
        <f t="shared" si="33"/>
        <v>608.57892910773705</v>
      </c>
      <c r="S196" s="2">
        <f t="shared" si="33"/>
        <v>619.53701812913096</v>
      </c>
      <c r="T196" s="2">
        <f t="shared" si="33"/>
        <v>619.53701812913096</v>
      </c>
      <c r="U196" s="2">
        <f t="shared" si="33"/>
        <v>608.57892910773705</v>
      </c>
      <c r="V196" s="2">
        <f t="shared" si="33"/>
        <v>593.84482975249136</v>
      </c>
      <c r="W196" s="2">
        <f t="shared" si="33"/>
        <v>554.71501429535238</v>
      </c>
      <c r="X196" s="2">
        <f t="shared" si="33"/>
        <v>512.96159226276961</v>
      </c>
      <c r="Y196" s="2">
        <f t="shared" si="33"/>
        <v>461.76838399423656</v>
      </c>
      <c r="Z196" s="2">
        <f t="shared" si="33"/>
        <v>402.43327726009659</v>
      </c>
      <c r="AA196" s="2">
        <f t="shared" si="33"/>
        <v>336.06988487405374</v>
      </c>
      <c r="AB196" s="2">
        <f t="shared" si="33"/>
        <v>0</v>
      </c>
      <c r="AC196" s="2">
        <f t="shared" si="33"/>
        <v>0</v>
      </c>
      <c r="AD196" s="2">
        <f t="shared" si="33"/>
        <v>0</v>
      </c>
      <c r="AE196" s="2">
        <f t="shared" si="33"/>
        <v>0</v>
      </c>
      <c r="AF196" s="2"/>
    </row>
    <row r="197" spans="1:33">
      <c r="B197" s="5" t="s">
        <v>862</v>
      </c>
      <c r="C197" s="11"/>
      <c r="D197" t="s">
        <v>767</v>
      </c>
      <c r="E197" s="12"/>
      <c r="F197" s="18"/>
      <c r="G197" s="2" t="s">
        <v>860</v>
      </c>
      <c r="I197" s="2" t="s">
        <v>867</v>
      </c>
      <c r="K197" s="9"/>
      <c r="AF197" s="2"/>
    </row>
    <row r="198" spans="1:33">
      <c r="A198" s="11" t="s">
        <v>568</v>
      </c>
      <c r="B198" t="s">
        <v>883</v>
      </c>
      <c r="C198" s="11"/>
      <c r="E198" s="12"/>
      <c r="F198" s="18"/>
      <c r="G198" s="2" t="s">
        <v>245</v>
      </c>
      <c r="H198" s="2"/>
      <c r="J198" t="s">
        <v>868</v>
      </c>
      <c r="AF198" s="2"/>
    </row>
    <row r="199" spans="1:33">
      <c r="A199" s="11"/>
      <c r="B199" t="s">
        <v>246</v>
      </c>
      <c r="C199" s="11"/>
      <c r="E199" s="12"/>
      <c r="F199" s="18"/>
      <c r="G199" s="19"/>
      <c r="I199" s="12" t="s">
        <v>858</v>
      </c>
      <c r="K199" s="11"/>
      <c r="AF199" s="2"/>
    </row>
    <row r="200" spans="1:33">
      <c r="A200" s="11"/>
      <c r="B200" s="2" t="s">
        <v>247</v>
      </c>
      <c r="C200" s="11"/>
      <c r="E200" s="12"/>
      <c r="F200" s="18"/>
      <c r="G200" s="19"/>
      <c r="H200" s="2"/>
      <c r="K200" s="11"/>
      <c r="L200" s="12"/>
      <c r="AF200" s="2"/>
    </row>
    <row r="201" spans="1:33" ht="18">
      <c r="A201" s="20" t="s">
        <v>882</v>
      </c>
      <c r="G201" s="19">
        <f>SUM(H201:AE201)/48</f>
        <v>8.6249653187289805</v>
      </c>
      <c r="H201" s="2">
        <f>H$63*$O$20*H$28^2*(1-H$141*$F$16)*(1-$H$142*$F$16)</f>
        <v>4.1065697318762417</v>
      </c>
      <c r="I201" s="2">
        <f t="shared" ref="I201:AE201" si="34">I$63*$O$20*I$28^2*(1-I$141*$F$16)*(1-$H$142*$F$16)</f>
        <v>15.189459363603206</v>
      </c>
      <c r="J201" s="2">
        <f t="shared" si="34"/>
        <v>26.590563290809527</v>
      </c>
      <c r="K201" s="2">
        <f t="shared" si="34"/>
        <v>37.5840323922381</v>
      </c>
      <c r="L201" s="2">
        <f t="shared" si="34"/>
        <v>48.009983553436257</v>
      </c>
      <c r="M201" s="2">
        <f t="shared" si="34"/>
        <v>57.490468180013799</v>
      </c>
      <c r="N201" s="2">
        <f t="shared" si="34"/>
        <v>65.966911999176645</v>
      </c>
      <c r="O201" s="2">
        <f t="shared" si="34"/>
        <v>73.280227466109949</v>
      </c>
      <c r="P201" s="2">
        <f t="shared" si="34"/>
        <v>0.19811250510548337</v>
      </c>
      <c r="Q201" s="2">
        <f t="shared" si="34"/>
        <v>0.21208743919731876</v>
      </c>
      <c r="R201" s="2">
        <f t="shared" si="34"/>
        <v>0.21734961753847792</v>
      </c>
      <c r="S201" s="2">
        <f t="shared" si="34"/>
        <v>0.22126322076040433</v>
      </c>
      <c r="T201" s="2">
        <f t="shared" si="34"/>
        <v>0.22126322076040433</v>
      </c>
      <c r="U201" s="2">
        <f t="shared" si="34"/>
        <v>0.21734961753847792</v>
      </c>
      <c r="V201" s="2">
        <f t="shared" si="34"/>
        <v>0.21208743919731876</v>
      </c>
      <c r="W201" s="2">
        <f t="shared" si="34"/>
        <v>0.19811250510548337</v>
      </c>
      <c r="X201" s="2">
        <f t="shared" si="34"/>
        <v>0.18320056866527523</v>
      </c>
      <c r="Y201" s="2">
        <f t="shared" si="34"/>
        <v>0.16491727999794195</v>
      </c>
      <c r="Z201" s="2">
        <f t="shared" si="34"/>
        <v>0.14372617045003477</v>
      </c>
      <c r="AA201" s="2">
        <f t="shared" si="34"/>
        <v>0.12002495888359085</v>
      </c>
      <c r="AB201" s="2">
        <f t="shared" si="34"/>
        <v>37.5840323922381</v>
      </c>
      <c r="AC201" s="2">
        <f t="shared" si="34"/>
        <v>26.590563290809527</v>
      </c>
      <c r="AD201" s="2">
        <f t="shared" si="34"/>
        <v>15.189459363603206</v>
      </c>
      <c r="AE201" s="2">
        <f t="shared" si="34"/>
        <v>4.1065697318762417</v>
      </c>
      <c r="AF201" s="2"/>
    </row>
    <row r="202" spans="1:33">
      <c r="A202" s="14"/>
      <c r="B202" s="5" t="s">
        <v>863</v>
      </c>
      <c r="G202" s="2"/>
      <c r="H202" s="2"/>
      <c r="I202" s="2"/>
      <c r="J202" s="10"/>
      <c r="K202" s="9"/>
      <c r="AF202" s="2"/>
    </row>
    <row r="203" spans="1:33">
      <c r="A203" s="11" t="s">
        <v>568</v>
      </c>
      <c r="B203" t="s">
        <v>726</v>
      </c>
      <c r="C203" s="11"/>
      <c r="E203" s="12"/>
      <c r="F203" s="18"/>
      <c r="G203" s="2" t="s">
        <v>245</v>
      </c>
      <c r="H203" s="2"/>
      <c r="J203" s="11"/>
      <c r="K203" t="s">
        <v>868</v>
      </c>
      <c r="M203" s="10"/>
      <c r="N203" s="10"/>
      <c r="AF203" s="2"/>
    </row>
    <row r="204" spans="1:33">
      <c r="A204" s="11"/>
      <c r="B204" t="s">
        <v>246</v>
      </c>
      <c r="C204" s="11"/>
      <c r="E204" s="12"/>
      <c r="F204" s="18"/>
      <c r="G204" s="19"/>
      <c r="H204" s="2"/>
      <c r="J204" s="11"/>
      <c r="M204" s="10"/>
      <c r="N204" s="10"/>
      <c r="AF204" s="2"/>
    </row>
    <row r="205" spans="1:33">
      <c r="A205" t="s">
        <v>834</v>
      </c>
      <c r="B205" s="5"/>
      <c r="C205" s="11"/>
      <c r="D205" s="5" t="s">
        <v>1025</v>
      </c>
      <c r="F205" t="s">
        <v>916</v>
      </c>
      <c r="G205" s="97">
        <f>SUM(H205:AE205)/48</f>
        <v>7.4986748279937574</v>
      </c>
      <c r="H205" s="97">
        <f>H194*$H$142*$F$16</f>
        <v>0.21302369253740785</v>
      </c>
      <c r="I205" s="97">
        <f t="shared" ref="I205:AE205" si="35">I194*$H$142*$F$16</f>
        <v>0.79260246745401852</v>
      </c>
      <c r="J205" s="97">
        <f t="shared" si="35"/>
        <v>1.3895269213038171</v>
      </c>
      <c r="K205" s="97">
        <f t="shared" si="35"/>
        <v>1.9652011107042628</v>
      </c>
      <c r="L205" s="97">
        <f t="shared" si="35"/>
        <v>2.5112858228710686</v>
      </c>
      <c r="M205" s="97">
        <f t="shared" si="35"/>
        <v>3.007778192522657</v>
      </c>
      <c r="N205" s="97">
        <f t="shared" si="35"/>
        <v>3.451713810746849</v>
      </c>
      <c r="O205" s="97">
        <f t="shared" si="35"/>
        <v>3.8347673526398132</v>
      </c>
      <c r="P205" s="97">
        <f t="shared" si="35"/>
        <v>29.029935185076951</v>
      </c>
      <c r="Q205" s="97">
        <f t="shared" si="35"/>
        <v>31.079381199924789</v>
      </c>
      <c r="R205" s="97">
        <f t="shared" si="35"/>
        <v>31.851162519405424</v>
      </c>
      <c r="S205" s="97">
        <f t="shared" si="35"/>
        <v>32.42518206032198</v>
      </c>
      <c r="T205" s="97">
        <f t="shared" si="35"/>
        <v>32.42518206032198</v>
      </c>
      <c r="U205" s="97">
        <f t="shared" si="35"/>
        <v>31.851162519405424</v>
      </c>
      <c r="V205" s="97">
        <f t="shared" si="35"/>
        <v>31.079381199924789</v>
      </c>
      <c r="W205" s="97">
        <f t="shared" si="35"/>
        <v>29.029935185076951</v>
      </c>
      <c r="X205" s="97">
        <f t="shared" si="35"/>
        <v>26.84337146847869</v>
      </c>
      <c r="Y205" s="97">
        <f t="shared" si="35"/>
        <v>24.16199667522794</v>
      </c>
      <c r="Z205" s="97">
        <f t="shared" si="35"/>
        <v>21.054447347658598</v>
      </c>
      <c r="AA205" s="97">
        <f t="shared" si="35"/>
        <v>17.579000760097479</v>
      </c>
      <c r="AB205" s="97">
        <f t="shared" si="35"/>
        <v>1.9652011107042628</v>
      </c>
      <c r="AC205" s="97">
        <f t="shared" si="35"/>
        <v>1.3895269213038171</v>
      </c>
      <c r="AD205" s="97">
        <f t="shared" si="35"/>
        <v>0.79260246745401852</v>
      </c>
      <c r="AE205" s="97">
        <f t="shared" si="35"/>
        <v>0.21302369253740785</v>
      </c>
      <c r="AF205" s="28"/>
      <c r="AG205" s="11"/>
    </row>
    <row r="206" spans="1:33">
      <c r="A206" t="s">
        <v>918</v>
      </c>
      <c r="B206" s="5"/>
      <c r="C206" s="11"/>
      <c r="D206" s="104" t="s">
        <v>1095</v>
      </c>
      <c r="G206" s="97">
        <f>SUM(H206:AE206)/48</f>
        <v>4.9799942100608874</v>
      </c>
      <c r="H206" s="97">
        <f>H205*($O$20*(1-H$27)+$F$15*H$27)</f>
        <v>2.1302369253740787E-2</v>
      </c>
      <c r="I206" s="97">
        <f t="shared" ref="I206:AE206" si="36">I205*($O$20*(1-I$27)+$F$15*I$27)</f>
        <v>7.9260246745401858E-2</v>
      </c>
      <c r="J206" s="97">
        <f t="shared" si="36"/>
        <v>0.13895269213038172</v>
      </c>
      <c r="K206" s="97">
        <f t="shared" si="36"/>
        <v>0.1965201110704263</v>
      </c>
      <c r="L206" s="97">
        <f t="shared" si="36"/>
        <v>0.25112858228710688</v>
      </c>
      <c r="M206" s="97">
        <f t="shared" si="36"/>
        <v>0.30077781925226571</v>
      </c>
      <c r="N206" s="97">
        <f t="shared" si="36"/>
        <v>0.34517138107468492</v>
      </c>
      <c r="O206" s="97">
        <f t="shared" si="36"/>
        <v>0.38347673526398135</v>
      </c>
      <c r="P206" s="97">
        <f t="shared" si="36"/>
        <v>20.320954629553864</v>
      </c>
      <c r="Q206" s="97">
        <f t="shared" si="36"/>
        <v>21.755566839947353</v>
      </c>
      <c r="R206" s="97">
        <f t="shared" si="36"/>
        <v>22.295813763583794</v>
      </c>
      <c r="S206" s="97">
        <f t="shared" si="36"/>
        <v>22.697627442225386</v>
      </c>
      <c r="T206" s="97">
        <f t="shared" si="36"/>
        <v>22.697627442225386</v>
      </c>
      <c r="U206" s="97">
        <f t="shared" si="36"/>
        <v>22.295813763583794</v>
      </c>
      <c r="V206" s="97">
        <f t="shared" si="36"/>
        <v>21.755566839947353</v>
      </c>
      <c r="W206" s="97">
        <f t="shared" si="36"/>
        <v>20.320954629553864</v>
      </c>
      <c r="X206" s="97">
        <f t="shared" si="36"/>
        <v>18.790360027935083</v>
      </c>
      <c r="Y206" s="97">
        <f t="shared" si="36"/>
        <v>16.913397672659556</v>
      </c>
      <c r="Z206" s="97">
        <f t="shared" si="36"/>
        <v>14.738113143361018</v>
      </c>
      <c r="AA206" s="97">
        <f t="shared" si="36"/>
        <v>12.305300532068234</v>
      </c>
      <c r="AB206" s="97">
        <f t="shared" si="36"/>
        <v>0.1965201110704263</v>
      </c>
      <c r="AC206" s="97">
        <f t="shared" si="36"/>
        <v>0.13895269213038172</v>
      </c>
      <c r="AD206" s="97">
        <f t="shared" si="36"/>
        <v>7.9260246745401858E-2</v>
      </c>
      <c r="AE206" s="97">
        <f t="shared" si="36"/>
        <v>2.1302369253740787E-2</v>
      </c>
      <c r="AF206" s="28"/>
      <c r="AG206" s="11"/>
    </row>
    <row r="207" spans="1:33">
      <c r="A207" s="20" t="s">
        <v>835</v>
      </c>
      <c r="B207" s="5"/>
      <c r="C207" s="11"/>
      <c r="G207" s="19">
        <f>SUM(H207:AE207)/48</f>
        <v>4.7271880528815329</v>
      </c>
      <c r="H207" s="24">
        <f>H206*(1-($F$16+$F$13)*$H$142)</f>
        <v>2.0220968376010045E-2</v>
      </c>
      <c r="I207" s="24">
        <f t="shared" ref="I207:AE207" si="37">I206*(1-($F$16+$F$13)*$H$142)</f>
        <v>7.5236652027899656E-2</v>
      </c>
      <c r="J207" s="24">
        <f t="shared" si="37"/>
        <v>0.13189884936561708</v>
      </c>
      <c r="K207" s="24">
        <f t="shared" si="37"/>
        <v>0.18654389583953207</v>
      </c>
      <c r="L207" s="24">
        <f t="shared" si="37"/>
        <v>0.23838020364087414</v>
      </c>
      <c r="M207" s="24">
        <f t="shared" si="37"/>
        <v>0.28550902948212215</v>
      </c>
      <c r="N207" s="24">
        <f t="shared" si="37"/>
        <v>0.32764898110050605</v>
      </c>
      <c r="O207" s="24">
        <f t="shared" si="37"/>
        <v>0.3640097889743818</v>
      </c>
      <c r="P207" s="24">
        <f t="shared" si="37"/>
        <v>19.289374624955681</v>
      </c>
      <c r="Q207" s="24">
        <f t="shared" si="37"/>
        <v>20.65115968241404</v>
      </c>
      <c r="R207" s="24">
        <f t="shared" si="37"/>
        <v>21.163981323423332</v>
      </c>
      <c r="S207" s="24">
        <f t="shared" si="37"/>
        <v>21.545397192807581</v>
      </c>
      <c r="T207" s="24">
        <f t="shared" si="37"/>
        <v>21.545397192807581</v>
      </c>
      <c r="U207" s="24">
        <f t="shared" si="37"/>
        <v>21.163981323423332</v>
      </c>
      <c r="V207" s="24">
        <f t="shared" si="37"/>
        <v>20.65115968241404</v>
      </c>
      <c r="W207" s="24">
        <f t="shared" si="37"/>
        <v>19.289374624955681</v>
      </c>
      <c r="X207" s="24">
        <f t="shared" si="37"/>
        <v>17.836479659744708</v>
      </c>
      <c r="Y207" s="24">
        <f t="shared" si="37"/>
        <v>16.054800073924792</v>
      </c>
      <c r="Z207" s="24">
        <f t="shared" si="37"/>
        <v>13.989942444623981</v>
      </c>
      <c r="AA207" s="24">
        <f t="shared" si="37"/>
        <v>11.680629978402829</v>
      </c>
      <c r="AB207" s="24">
        <f t="shared" si="37"/>
        <v>0.18654389583953207</v>
      </c>
      <c r="AC207" s="24">
        <f t="shared" si="37"/>
        <v>0.13189884936561708</v>
      </c>
      <c r="AD207" s="24">
        <f t="shared" si="37"/>
        <v>7.5236652027899656E-2</v>
      </c>
      <c r="AE207" s="24">
        <f t="shared" si="37"/>
        <v>2.0220968376010045E-2</v>
      </c>
      <c r="AF207" s="28"/>
      <c r="AG207" s="11"/>
    </row>
    <row r="208" spans="1:33">
      <c r="A208" s="20"/>
      <c r="B208" s="24" t="s">
        <v>1020</v>
      </c>
      <c r="C208" s="11"/>
      <c r="G208" s="19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8"/>
      <c r="AG208" s="11"/>
    </row>
    <row r="209" spans="1:33">
      <c r="A209" s="100" t="s">
        <v>836</v>
      </c>
      <c r="B209" s="5"/>
      <c r="C209" s="11"/>
      <c r="G209" s="19">
        <f>SUM(H209:AE209)/48</f>
        <v>0.16305073450200444</v>
      </c>
      <c r="H209" s="2">
        <f>H207^2/(H196+H201)</f>
        <v>9.9569126731176329E-5</v>
      </c>
      <c r="I209" s="2">
        <f t="shared" ref="I209:AE209" si="38">I207^2/(I196+I201)</f>
        <v>3.726632839830367E-4</v>
      </c>
      <c r="J209" s="2">
        <f t="shared" si="38"/>
        <v>6.5426618735778188E-4</v>
      </c>
      <c r="K209" s="2">
        <f t="shared" si="38"/>
        <v>9.2588854521572948E-4</v>
      </c>
      <c r="L209" s="2">
        <f t="shared" si="38"/>
        <v>1.1836105176877829E-3</v>
      </c>
      <c r="M209" s="2">
        <f t="shared" si="38"/>
        <v>1.4178942787625725E-3</v>
      </c>
      <c r="N209" s="2">
        <f t="shared" si="38"/>
        <v>1.6273894224052763E-3</v>
      </c>
      <c r="O209" s="2">
        <f t="shared" si="38"/>
        <v>1.8081702397888019E-3</v>
      </c>
      <c r="P209" s="2">
        <f t="shared" si="38"/>
        <v>0.67051932176706464</v>
      </c>
      <c r="Q209" s="2">
        <f t="shared" si="38"/>
        <v>0.71789484119574831</v>
      </c>
      <c r="R209" s="2">
        <f t="shared" si="38"/>
        <v>0.73573725909769672</v>
      </c>
      <c r="S209" s="2">
        <f t="shared" si="38"/>
        <v>0.7490083701419219</v>
      </c>
      <c r="T209" s="2">
        <f t="shared" si="38"/>
        <v>0.7490083701419219</v>
      </c>
      <c r="U209" s="2">
        <f t="shared" si="38"/>
        <v>0.73573725909769672</v>
      </c>
      <c r="V209" s="2">
        <f t="shared" si="38"/>
        <v>0.71789484119574831</v>
      </c>
      <c r="W209" s="2">
        <f t="shared" si="38"/>
        <v>0.67051932176706464</v>
      </c>
      <c r="X209" s="2">
        <f t="shared" si="38"/>
        <v>0.61998097047239042</v>
      </c>
      <c r="Y209" s="2">
        <f t="shared" si="38"/>
        <v>0.55799528785363317</v>
      </c>
      <c r="Z209" s="2">
        <f t="shared" si="38"/>
        <v>0.48616410757714174</v>
      </c>
      <c r="AA209" s="2">
        <f t="shared" si="38"/>
        <v>0.40583346704296536</v>
      </c>
      <c r="AB209" s="2">
        <f t="shared" si="38"/>
        <v>9.2588854521572948E-4</v>
      </c>
      <c r="AC209" s="2">
        <f t="shared" si="38"/>
        <v>6.5426618735778188E-4</v>
      </c>
      <c r="AD209" s="2">
        <f t="shared" si="38"/>
        <v>3.726632839830367E-4</v>
      </c>
      <c r="AE209" s="2">
        <f t="shared" si="38"/>
        <v>9.9569126731176329E-5</v>
      </c>
      <c r="AF209" s="28"/>
      <c r="AG209" s="11"/>
    </row>
    <row r="210" spans="1:33" ht="18">
      <c r="A210" s="100"/>
      <c r="B210" s="24" t="s">
        <v>919</v>
      </c>
      <c r="C210" s="11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8"/>
      <c r="AG210" s="11"/>
    </row>
    <row r="211" spans="1:33" ht="18">
      <c r="A211" s="20" t="s">
        <v>890</v>
      </c>
      <c r="G211" s="19">
        <f>(SUM(H211:AE211)+24*$O$24*(1-$H$142))/48</f>
        <v>246.91489077856897</v>
      </c>
      <c r="H211" s="2">
        <f>$O$24*(1-H$27)*(1-$H$142)</f>
        <v>329.2198543714253</v>
      </c>
      <c r="I211" s="2">
        <f t="shared" ref="I211:AE211" si="39">$O$24*(1-I$27)*(1-$H$142)</f>
        <v>329.2198543714253</v>
      </c>
      <c r="J211" s="2">
        <f t="shared" si="39"/>
        <v>329.2198543714253</v>
      </c>
      <c r="K211" s="2">
        <f t="shared" si="39"/>
        <v>329.2198543714253</v>
      </c>
      <c r="L211" s="2">
        <f t="shared" si="39"/>
        <v>329.2198543714253</v>
      </c>
      <c r="M211" s="2">
        <f t="shared" si="39"/>
        <v>329.2198543714253</v>
      </c>
      <c r="N211" s="2">
        <f t="shared" si="39"/>
        <v>329.2198543714253</v>
      </c>
      <c r="O211" s="2">
        <f t="shared" si="39"/>
        <v>329.2198543714253</v>
      </c>
      <c r="P211" s="2">
        <f t="shared" si="39"/>
        <v>0</v>
      </c>
      <c r="Q211" s="2">
        <f t="shared" si="39"/>
        <v>0</v>
      </c>
      <c r="R211" s="2">
        <f t="shared" si="39"/>
        <v>0</v>
      </c>
      <c r="S211" s="2">
        <f t="shared" si="39"/>
        <v>0</v>
      </c>
      <c r="T211" s="2">
        <f t="shared" si="39"/>
        <v>0</v>
      </c>
      <c r="U211" s="2">
        <f t="shared" si="39"/>
        <v>0</v>
      </c>
      <c r="V211" s="2">
        <f t="shared" si="39"/>
        <v>0</v>
      </c>
      <c r="W211" s="2">
        <f t="shared" si="39"/>
        <v>0</v>
      </c>
      <c r="X211" s="2">
        <f t="shared" si="39"/>
        <v>0</v>
      </c>
      <c r="Y211" s="2">
        <f t="shared" si="39"/>
        <v>0</v>
      </c>
      <c r="Z211" s="2">
        <f t="shared" si="39"/>
        <v>0</v>
      </c>
      <c r="AA211" s="2">
        <f t="shared" si="39"/>
        <v>0</v>
      </c>
      <c r="AB211" s="2">
        <f t="shared" si="39"/>
        <v>329.2198543714253</v>
      </c>
      <c r="AC211" s="2">
        <f t="shared" si="39"/>
        <v>329.2198543714253</v>
      </c>
      <c r="AD211" s="2">
        <f t="shared" si="39"/>
        <v>329.2198543714253</v>
      </c>
      <c r="AE211" s="2">
        <f t="shared" si="39"/>
        <v>329.2198543714253</v>
      </c>
      <c r="AF211" s="2"/>
    </row>
    <row r="212" spans="1:33">
      <c r="A212" s="14"/>
      <c r="B212" s="5" t="s">
        <v>885</v>
      </c>
      <c r="D212" t="s">
        <v>869</v>
      </c>
      <c r="E212" s="12"/>
      <c r="F212" s="6"/>
      <c r="G212" s="2" t="s">
        <v>860</v>
      </c>
      <c r="I212" s="2" t="s">
        <v>884</v>
      </c>
      <c r="J212" s="10"/>
      <c r="K212" s="9"/>
      <c r="AF212" s="2"/>
    </row>
    <row r="213" spans="1:33" ht="18">
      <c r="A213" s="20" t="s">
        <v>891</v>
      </c>
      <c r="D213" s="105" t="s">
        <v>892</v>
      </c>
      <c r="E213">
        <f>$F$7</f>
        <v>-5</v>
      </c>
      <c r="F213" s="5" t="s">
        <v>893</v>
      </c>
      <c r="G213" s="19">
        <f>SUM(H213:AE213)/48</f>
        <v>66.194127351477249</v>
      </c>
      <c r="H213" s="2">
        <f>$M$9*($F$7+273)^4*H$27*(1-$H$142)</f>
        <v>0</v>
      </c>
      <c r="I213" s="2">
        <f>$M$9*($F$7+273)^4*I$27*(1-$H$142)</f>
        <v>0</v>
      </c>
      <c r="J213" s="2">
        <f t="shared" ref="J213:AE213" si="40">$M$9*($F$7+273)^4*J$27*(1-$H$142)</f>
        <v>0</v>
      </c>
      <c r="K213" s="2">
        <f t="shared" si="40"/>
        <v>0</v>
      </c>
      <c r="L213" s="2">
        <f t="shared" si="40"/>
        <v>0</v>
      </c>
      <c r="M213" s="2">
        <f t="shared" si="40"/>
        <v>0</v>
      </c>
      <c r="N213" s="2">
        <f t="shared" si="40"/>
        <v>0</v>
      </c>
      <c r="O213" s="2">
        <f t="shared" si="40"/>
        <v>0</v>
      </c>
      <c r="P213" s="2">
        <f t="shared" si="40"/>
        <v>264.77650940590894</v>
      </c>
      <c r="Q213" s="2">
        <f t="shared" si="40"/>
        <v>264.77650940590894</v>
      </c>
      <c r="R213" s="2">
        <f t="shared" si="40"/>
        <v>264.77650940590894</v>
      </c>
      <c r="S213" s="2">
        <f t="shared" si="40"/>
        <v>264.77650940590894</v>
      </c>
      <c r="T213" s="2">
        <f t="shared" si="40"/>
        <v>264.77650940590894</v>
      </c>
      <c r="U213" s="2">
        <f t="shared" si="40"/>
        <v>264.77650940590894</v>
      </c>
      <c r="V213" s="2">
        <f t="shared" si="40"/>
        <v>264.77650940590894</v>
      </c>
      <c r="W213" s="2">
        <f t="shared" si="40"/>
        <v>264.77650940590894</v>
      </c>
      <c r="X213" s="2">
        <f t="shared" si="40"/>
        <v>264.77650940590894</v>
      </c>
      <c r="Y213" s="2">
        <f t="shared" si="40"/>
        <v>264.77650940590894</v>
      </c>
      <c r="Z213" s="2">
        <f t="shared" si="40"/>
        <v>264.77650940590894</v>
      </c>
      <c r="AA213" s="2">
        <f t="shared" si="40"/>
        <v>264.77650940590894</v>
      </c>
      <c r="AB213" s="2">
        <f t="shared" si="40"/>
        <v>0</v>
      </c>
      <c r="AC213" s="2">
        <f t="shared" si="40"/>
        <v>0</v>
      </c>
      <c r="AD213" s="2">
        <f t="shared" si="40"/>
        <v>0</v>
      </c>
      <c r="AE213" s="2">
        <f t="shared" si="40"/>
        <v>0</v>
      </c>
      <c r="AF213" s="2"/>
    </row>
    <row r="214" spans="1:33">
      <c r="A214" s="14"/>
      <c r="B214" t="s">
        <v>886</v>
      </c>
      <c r="D214" t="s">
        <v>744</v>
      </c>
      <c r="E214" s="30"/>
      <c r="F214" t="s">
        <v>618</v>
      </c>
      <c r="H214" s="2" t="s">
        <v>860</v>
      </c>
      <c r="I214" s="2"/>
      <c r="J214" s="2" t="s">
        <v>887</v>
      </c>
      <c r="K214" s="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3">
      <c r="A215" s="20" t="s">
        <v>914</v>
      </c>
      <c r="B215" s="11"/>
      <c r="C215" s="11"/>
      <c r="D215" s="11"/>
      <c r="E215" s="27"/>
      <c r="F215" s="6"/>
      <c r="G215" s="19">
        <f>SUM(H215:AE215)/24</f>
        <v>12.551783676120003</v>
      </c>
      <c r="H215" s="24">
        <f t="shared" ref="H215:AE215" si="41">$M$9*($F$9+273)^4*$F$11*$H$18</f>
        <v>12.551783676119999</v>
      </c>
      <c r="I215" s="24">
        <f t="shared" si="41"/>
        <v>12.551783676119999</v>
      </c>
      <c r="J215" s="24">
        <f t="shared" si="41"/>
        <v>12.551783676119999</v>
      </c>
      <c r="K215" s="24">
        <f t="shared" si="41"/>
        <v>12.551783676119999</v>
      </c>
      <c r="L215" s="24">
        <f t="shared" si="41"/>
        <v>12.551783676119999</v>
      </c>
      <c r="M215" s="24">
        <f t="shared" si="41"/>
        <v>12.551783676119999</v>
      </c>
      <c r="N215" s="24">
        <f t="shared" si="41"/>
        <v>12.551783676119999</v>
      </c>
      <c r="O215" s="24">
        <f t="shared" si="41"/>
        <v>12.551783676119999</v>
      </c>
      <c r="P215" s="24">
        <f t="shared" si="41"/>
        <v>12.551783676119999</v>
      </c>
      <c r="Q215" s="24">
        <f t="shared" si="41"/>
        <v>12.551783676119999</v>
      </c>
      <c r="R215" s="24">
        <f t="shared" si="41"/>
        <v>12.551783676119999</v>
      </c>
      <c r="S215" s="24">
        <f t="shared" si="41"/>
        <v>12.551783676119999</v>
      </c>
      <c r="T215" s="24">
        <f t="shared" si="41"/>
        <v>12.551783676119999</v>
      </c>
      <c r="U215" s="24">
        <f t="shared" si="41"/>
        <v>12.551783676119999</v>
      </c>
      <c r="V215" s="24">
        <f t="shared" si="41"/>
        <v>12.551783676119999</v>
      </c>
      <c r="W215" s="24">
        <f t="shared" si="41"/>
        <v>12.551783676119999</v>
      </c>
      <c r="X215" s="24">
        <f t="shared" si="41"/>
        <v>12.551783676119999</v>
      </c>
      <c r="Y215" s="24">
        <f t="shared" si="41"/>
        <v>12.551783676119999</v>
      </c>
      <c r="Z215" s="24">
        <f t="shared" si="41"/>
        <v>12.551783676119999</v>
      </c>
      <c r="AA215" s="24">
        <f t="shared" si="41"/>
        <v>12.551783676119999</v>
      </c>
      <c r="AB215" s="24">
        <f t="shared" si="41"/>
        <v>12.551783676119999</v>
      </c>
      <c r="AC215" s="24">
        <f t="shared" si="41"/>
        <v>12.551783676119999</v>
      </c>
      <c r="AD215" s="24">
        <f t="shared" si="41"/>
        <v>12.551783676119999</v>
      </c>
      <c r="AE215" s="24">
        <f t="shared" si="41"/>
        <v>12.551783676119999</v>
      </c>
      <c r="AF215" s="28"/>
      <c r="AG215" s="11"/>
    </row>
    <row r="216" spans="1:33">
      <c r="A216" s="20"/>
      <c r="B216" s="5" t="s">
        <v>272</v>
      </c>
      <c r="C216" s="11"/>
      <c r="D216" t="s">
        <v>743</v>
      </c>
      <c r="E216" s="27"/>
      <c r="F216" s="6"/>
      <c r="G216" s="28"/>
      <c r="H216" t="s">
        <v>717</v>
      </c>
      <c r="I216" s="29"/>
      <c r="J216" s="11"/>
      <c r="K216" s="2" t="s">
        <v>273</v>
      </c>
      <c r="L216" s="11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11"/>
    </row>
    <row r="217" spans="1:33">
      <c r="A217" s="20"/>
      <c r="B217" s="27" t="s">
        <v>925</v>
      </c>
      <c r="C217" s="11" t="s">
        <v>266</v>
      </c>
      <c r="E217" s="27"/>
      <c r="F217" s="6"/>
      <c r="G217" s="28"/>
      <c r="I217" s="29"/>
      <c r="J217" s="11"/>
      <c r="K217" s="2"/>
      <c r="L217" s="11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11"/>
    </row>
    <row r="218" spans="1:33">
      <c r="A218" s="20"/>
      <c r="B218" s="14"/>
      <c r="C218" t="s">
        <v>274</v>
      </c>
      <c r="E218" s="27"/>
      <c r="F218" s="6"/>
      <c r="G218" s="28"/>
      <c r="I218" s="29"/>
      <c r="J218" s="11"/>
      <c r="K218" s="2"/>
      <c r="L218" s="11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11"/>
    </row>
    <row r="219" spans="1:33">
      <c r="A219" s="3"/>
      <c r="B219" s="16" t="s">
        <v>333</v>
      </c>
      <c r="E219" s="12"/>
      <c r="F219" s="6"/>
      <c r="G219" s="32">
        <f>G190+G196+G201+G211+G213+G215</f>
        <v>485.00169027057092</v>
      </c>
      <c r="H219" s="2"/>
      <c r="I219" s="29"/>
      <c r="K219" s="10"/>
      <c r="L219" s="3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3">
      <c r="A220" s="20"/>
      <c r="B220" s="16" t="s">
        <v>725</v>
      </c>
      <c r="E220" s="30"/>
      <c r="F220" s="6"/>
      <c r="G220" s="32">
        <f>G187-G219</f>
        <v>20.22271455674678</v>
      </c>
      <c r="H220" s="33"/>
      <c r="I220" s="8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3">
      <c r="A221" s="39" t="s">
        <v>501</v>
      </c>
      <c r="B221" s="16"/>
      <c r="E221" s="30"/>
      <c r="F221" s="6"/>
      <c r="G221" s="32"/>
      <c r="H221" s="33"/>
      <c r="I221" s="3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3">
      <c r="A222" s="3" t="s">
        <v>727</v>
      </c>
      <c r="E222" s="12"/>
      <c r="F222" s="6"/>
      <c r="G222" s="87" t="s">
        <v>535</v>
      </c>
      <c r="H222" s="21"/>
      <c r="I222" s="2"/>
      <c r="J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3">
      <c r="A223" s="20" t="s">
        <v>935</v>
      </c>
      <c r="B223" s="11"/>
      <c r="C223" s="11"/>
      <c r="E223" s="14" t="s">
        <v>563</v>
      </c>
      <c r="F223" s="31">
        <f>$F$15</f>
        <v>0.7</v>
      </c>
      <c r="G223" s="19">
        <f>SUM(H223:AE223)/48</f>
        <v>216.15585822429787</v>
      </c>
      <c r="H223" s="2">
        <f>H$63*$F$15</f>
        <v>44.742509637589194</v>
      </c>
      <c r="I223" s="2">
        <f t="shared" ref="I223:AE223" si="42">I$63*$F$15</f>
        <v>132.67856641343695</v>
      </c>
      <c r="J223" s="2">
        <f t="shared" si="42"/>
        <v>218.18373839516664</v>
      </c>
      <c r="K223" s="2">
        <f t="shared" si="42"/>
        <v>299.98364771956778</v>
      </c>
      <c r="L223" s="2">
        <f t="shared" si="42"/>
        <v>376.65597971959266</v>
      </c>
      <c r="M223" s="2">
        <f t="shared" si="42"/>
        <v>446.87620477863101</v>
      </c>
      <c r="N223" s="2">
        <f t="shared" si="42"/>
        <v>509.48526912040114</v>
      </c>
      <c r="O223" s="2">
        <f t="shared" si="42"/>
        <v>563.26208564073056</v>
      </c>
      <c r="P223" s="2">
        <f t="shared" si="42"/>
        <v>607.50267349561011</v>
      </c>
      <c r="Q223" s="2">
        <f t="shared" si="42"/>
        <v>648.68547157612727</v>
      </c>
      <c r="R223" s="2">
        <f t="shared" si="42"/>
        <v>664.11765496191197</v>
      </c>
      <c r="S223" s="2">
        <f t="shared" si="42"/>
        <v>675.56679592438286</v>
      </c>
      <c r="T223" s="2">
        <f t="shared" si="42"/>
        <v>675.56679592438286</v>
      </c>
      <c r="U223" s="2">
        <f t="shared" si="42"/>
        <v>664.11765496191197</v>
      </c>
      <c r="V223" s="2">
        <f t="shared" si="42"/>
        <v>648.68547157612727</v>
      </c>
      <c r="W223" s="2">
        <f t="shared" si="42"/>
        <v>607.50267349561011</v>
      </c>
      <c r="X223" s="2">
        <f t="shared" si="42"/>
        <v>563.26208564073056</v>
      </c>
      <c r="Y223" s="2">
        <f t="shared" si="42"/>
        <v>509.48526912040114</v>
      </c>
      <c r="Z223" s="2">
        <f t="shared" si="42"/>
        <v>446.87620477863101</v>
      </c>
      <c r="AA223" s="2">
        <f t="shared" si="42"/>
        <v>376.65597971959266</v>
      </c>
      <c r="AB223" s="2">
        <f t="shared" si="42"/>
        <v>299.98364771956778</v>
      </c>
      <c r="AC223" s="2">
        <f t="shared" si="42"/>
        <v>218.18373839516664</v>
      </c>
      <c r="AD223" s="2">
        <f t="shared" si="42"/>
        <v>132.67856641343695</v>
      </c>
      <c r="AE223" s="2">
        <f t="shared" si="42"/>
        <v>44.742509637589194</v>
      </c>
      <c r="AF223" s="28"/>
      <c r="AG223" s="11"/>
    </row>
    <row r="224" spans="1:33">
      <c r="A224" s="3"/>
      <c r="B224" s="5" t="s">
        <v>937</v>
      </c>
      <c r="C224" s="11"/>
      <c r="D224" t="s">
        <v>859</v>
      </c>
      <c r="F224" s="27"/>
      <c r="G224" s="2"/>
      <c r="H224" s="2" t="s">
        <v>1019</v>
      </c>
      <c r="I224" s="2"/>
      <c r="J224" s="2"/>
      <c r="K224" s="2"/>
      <c r="M224" s="2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11"/>
    </row>
    <row r="225" spans="1:33">
      <c r="A225" s="20" t="s">
        <v>936</v>
      </c>
      <c r="B225" s="11"/>
      <c r="C225" s="11"/>
      <c r="D225" s="24" t="s">
        <v>1015</v>
      </c>
      <c r="E225" s="27"/>
      <c r="F225" s="6"/>
      <c r="G225" s="25">
        <f>$M$9*($F$7+273)^4</f>
        <v>294.04515763199998</v>
      </c>
      <c r="H225" s="24">
        <f>$M$9*($F$7+273)^4</f>
        <v>294.04515763199998</v>
      </c>
      <c r="I225" s="24">
        <f t="shared" ref="I225:AE225" si="43">$M$9*($F$7+273)^4</f>
        <v>294.04515763199998</v>
      </c>
      <c r="J225" s="24">
        <f t="shared" si="43"/>
        <v>294.04515763199998</v>
      </c>
      <c r="K225" s="24">
        <f t="shared" si="43"/>
        <v>294.04515763199998</v>
      </c>
      <c r="L225" s="24">
        <f t="shared" si="43"/>
        <v>294.04515763199998</v>
      </c>
      <c r="M225" s="24">
        <f t="shared" si="43"/>
        <v>294.04515763199998</v>
      </c>
      <c r="N225" s="24">
        <f t="shared" si="43"/>
        <v>294.04515763199998</v>
      </c>
      <c r="O225" s="24">
        <f t="shared" si="43"/>
        <v>294.04515763199998</v>
      </c>
      <c r="P225" s="24">
        <f t="shared" si="43"/>
        <v>294.04515763199998</v>
      </c>
      <c r="Q225" s="24">
        <f t="shared" si="43"/>
        <v>294.04515763199998</v>
      </c>
      <c r="R225" s="24">
        <f t="shared" si="43"/>
        <v>294.04515763199998</v>
      </c>
      <c r="S225" s="24">
        <f t="shared" si="43"/>
        <v>294.04515763199998</v>
      </c>
      <c r="T225" s="24">
        <f t="shared" si="43"/>
        <v>294.04515763199998</v>
      </c>
      <c r="U225" s="24">
        <f t="shared" si="43"/>
        <v>294.04515763199998</v>
      </c>
      <c r="V225" s="24">
        <f t="shared" si="43"/>
        <v>294.04515763199998</v>
      </c>
      <c r="W225" s="24">
        <f t="shared" si="43"/>
        <v>294.04515763199998</v>
      </c>
      <c r="X225" s="24">
        <f t="shared" si="43"/>
        <v>294.04515763199998</v>
      </c>
      <c r="Y225" s="24">
        <f t="shared" si="43"/>
        <v>294.04515763199998</v>
      </c>
      <c r="Z225" s="24">
        <f t="shared" si="43"/>
        <v>294.04515763199998</v>
      </c>
      <c r="AA225" s="24">
        <f t="shared" si="43"/>
        <v>294.04515763199998</v>
      </c>
      <c r="AB225" s="24">
        <f t="shared" si="43"/>
        <v>294.04515763199998</v>
      </c>
      <c r="AC225" s="24">
        <f t="shared" si="43"/>
        <v>294.04515763199998</v>
      </c>
      <c r="AD225" s="24">
        <f t="shared" si="43"/>
        <v>294.04515763199998</v>
      </c>
      <c r="AE225" s="24">
        <f t="shared" si="43"/>
        <v>294.04515763199998</v>
      </c>
      <c r="AF225" s="28"/>
      <c r="AG225" s="11"/>
    </row>
    <row r="226" spans="1:33">
      <c r="A226" s="20"/>
      <c r="B226" s="16" t="s">
        <v>729</v>
      </c>
      <c r="C226" s="11"/>
      <c r="D226" s="11"/>
      <c r="E226" s="21"/>
      <c r="F226" s="21"/>
      <c r="G226" s="82">
        <f>G223+G225</f>
        <v>510.20101585629789</v>
      </c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8"/>
      <c r="AG226" s="11"/>
    </row>
    <row r="227" spans="1:33">
      <c r="A227" s="39" t="s">
        <v>501</v>
      </c>
      <c r="B227" s="16"/>
      <c r="C227" s="11"/>
      <c r="D227" s="11"/>
      <c r="E227" s="21"/>
      <c r="F227" s="21"/>
      <c r="G227" s="82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8"/>
      <c r="AG227" s="11"/>
    </row>
    <row r="228" spans="1:33">
      <c r="A228" s="3" t="s">
        <v>321</v>
      </c>
      <c r="B228" s="16"/>
      <c r="C228" s="11"/>
      <c r="D228" s="11"/>
      <c r="E228" s="21"/>
      <c r="F228" s="21"/>
      <c r="G228" s="82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8"/>
      <c r="AG228" s="11"/>
    </row>
    <row r="229" spans="1:33">
      <c r="A229" s="3" t="s">
        <v>877</v>
      </c>
      <c r="G229" s="19">
        <f>SUM(H229:AE229)/48</f>
        <v>15.995408125663628</v>
      </c>
      <c r="H229" s="24">
        <f>H$63*H$141*$F$16</f>
        <v>20.701330989012423</v>
      </c>
      <c r="I229" s="24">
        <f t="shared" ref="I229:AE229" si="44">I$63*I$141*$F$16</f>
        <v>29.690637403677691</v>
      </c>
      <c r="J229" s="24">
        <f t="shared" si="44"/>
        <v>31.858441493843216</v>
      </c>
      <c r="K229" s="24">
        <f t="shared" si="44"/>
        <v>33.022862865121006</v>
      </c>
      <c r="L229" s="24">
        <f t="shared" si="44"/>
        <v>32.8345943872079</v>
      </c>
      <c r="M229" s="24">
        <f t="shared" si="44"/>
        <v>33.378889871620501</v>
      </c>
      <c r="N229" s="24">
        <f t="shared" si="44"/>
        <v>33.61637959362448</v>
      </c>
      <c r="O229" s="24">
        <f t="shared" si="44"/>
        <v>33.476851988731262</v>
      </c>
      <c r="P229" s="24">
        <f t="shared" si="44"/>
        <v>33.905856546016672</v>
      </c>
      <c r="Q229" s="24">
        <f t="shared" si="44"/>
        <v>33.910903819964894</v>
      </c>
      <c r="R229" s="24">
        <f t="shared" si="44"/>
        <v>33.805726669784605</v>
      </c>
      <c r="S229" s="24">
        <f t="shared" si="44"/>
        <v>33.687319387322411</v>
      </c>
      <c r="T229" s="24">
        <f t="shared" si="44"/>
        <v>33.687319387322411</v>
      </c>
      <c r="U229" s="24">
        <f t="shared" si="44"/>
        <v>33.805726669784605</v>
      </c>
      <c r="V229" s="24">
        <f t="shared" si="44"/>
        <v>33.910903819964894</v>
      </c>
      <c r="W229" s="24">
        <f t="shared" si="44"/>
        <v>33.905856546016672</v>
      </c>
      <c r="X229" s="24">
        <f t="shared" si="44"/>
        <v>33.476851988731262</v>
      </c>
      <c r="Y229" s="24">
        <f t="shared" si="44"/>
        <v>33.61637959362448</v>
      </c>
      <c r="Z229" s="24">
        <f t="shared" si="44"/>
        <v>33.378889871620501</v>
      </c>
      <c r="AA229" s="24">
        <f t="shared" si="44"/>
        <v>32.8345943872079</v>
      </c>
      <c r="AB229" s="24">
        <f t="shared" si="44"/>
        <v>33.022862865121006</v>
      </c>
      <c r="AC229" s="24">
        <f t="shared" si="44"/>
        <v>31.858441493843216</v>
      </c>
      <c r="AD229" s="24">
        <f t="shared" si="44"/>
        <v>29.690637403677691</v>
      </c>
      <c r="AE229" s="24">
        <f t="shared" si="44"/>
        <v>20.701330989012423</v>
      </c>
      <c r="AF229" s="28"/>
      <c r="AG229" s="11"/>
    </row>
    <row r="230" spans="1:33">
      <c r="B230" s="5" t="s">
        <v>1021</v>
      </c>
      <c r="D230" t="s">
        <v>767</v>
      </c>
      <c r="G230" t="s">
        <v>894</v>
      </c>
      <c r="J230" s="2"/>
      <c r="K230" s="2" t="s">
        <v>1027</v>
      </c>
      <c r="L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3">
      <c r="A231" t="s">
        <v>879</v>
      </c>
      <c r="C231" s="11"/>
      <c r="G231" s="98">
        <f>SUM(H231:AE231)/48</f>
        <v>292.47876688939147</v>
      </c>
      <c r="H231" s="97">
        <f>H$63*(1-($F$16+$F$13)*H$141)</f>
        <v>42.802513302049036</v>
      </c>
      <c r="I231" s="97">
        <f t="shared" ref="I231:AE231" si="45">I$63*(1-($F$16+$F$13)*I$141)</f>
        <v>159.25635901030154</v>
      </c>
      <c r="J231" s="97">
        <f t="shared" si="45"/>
        <v>279.19544452651797</v>
      </c>
      <c r="K231" s="97">
        <f t="shared" si="45"/>
        <v>394.8647480483877</v>
      </c>
      <c r="L231" s="97">
        <f t="shared" si="45"/>
        <v>504.58868475303751</v>
      </c>
      <c r="M231" s="97">
        <f t="shared" si="45"/>
        <v>604.34811058613434</v>
      </c>
      <c r="N231" s="97">
        <f t="shared" si="45"/>
        <v>693.54739155793322</v>
      </c>
      <c r="O231" s="97">
        <f t="shared" si="45"/>
        <v>770.51373331539503</v>
      </c>
      <c r="P231" s="97">
        <f t="shared" si="45"/>
        <v>833.27698845964892</v>
      </c>
      <c r="Q231" s="97">
        <f t="shared" si="45"/>
        <v>892.10440892667486</v>
      </c>
      <c r="R231" s="97">
        <f t="shared" si="45"/>
        <v>914.2576658852654</v>
      </c>
      <c r="S231" s="97">
        <f t="shared" si="45"/>
        <v>930.73435697404966</v>
      </c>
      <c r="T231" s="97">
        <f t="shared" si="45"/>
        <v>930.73435697404966</v>
      </c>
      <c r="U231" s="97">
        <f t="shared" si="45"/>
        <v>914.2576658852654</v>
      </c>
      <c r="V231" s="97">
        <f t="shared" si="45"/>
        <v>892.10440892667486</v>
      </c>
      <c r="W231" s="97">
        <f t="shared" si="45"/>
        <v>833.27698845964892</v>
      </c>
      <c r="X231" s="97">
        <f t="shared" si="45"/>
        <v>770.51373331539503</v>
      </c>
      <c r="Y231" s="97">
        <f t="shared" si="45"/>
        <v>693.54739155793322</v>
      </c>
      <c r="Z231" s="97">
        <f t="shared" si="45"/>
        <v>604.34811058613434</v>
      </c>
      <c r="AA231" s="97">
        <f t="shared" si="45"/>
        <v>504.58868475303751</v>
      </c>
      <c r="AB231" s="97">
        <f t="shared" si="45"/>
        <v>394.8647480483877</v>
      </c>
      <c r="AC231" s="97">
        <f t="shared" si="45"/>
        <v>279.19544452651797</v>
      </c>
      <c r="AD231" s="97">
        <f t="shared" si="45"/>
        <v>159.25635901030154</v>
      </c>
      <c r="AE231" s="97">
        <f t="shared" si="45"/>
        <v>42.802513302049036</v>
      </c>
      <c r="AF231" s="28"/>
      <c r="AG231" s="11"/>
    </row>
    <row r="232" spans="1:33">
      <c r="B232" s="24" t="s">
        <v>948</v>
      </c>
      <c r="D232" s="2" t="s">
        <v>949</v>
      </c>
      <c r="E232" s="106" t="s">
        <v>970</v>
      </c>
      <c r="G232" t="s">
        <v>853</v>
      </c>
      <c r="I232" t="s">
        <v>950</v>
      </c>
      <c r="AF232" s="28"/>
      <c r="AG232" s="11"/>
    </row>
    <row r="233" spans="1:33">
      <c r="A233" t="s">
        <v>895</v>
      </c>
      <c r="C233" s="11"/>
      <c r="D233" s="24"/>
      <c r="G233" s="97">
        <f>SUM(H233:AE233)/48</f>
        <v>204.73513682257396</v>
      </c>
      <c r="H233" s="97">
        <f>H231*$F$15</f>
        <v>29.961759311434324</v>
      </c>
      <c r="I233" s="97">
        <f t="shared" ref="I233:AE233" si="46">I231*$F$15</f>
        <v>111.47945130721106</v>
      </c>
      <c r="J233" s="97">
        <f t="shared" si="46"/>
        <v>195.43681116856257</v>
      </c>
      <c r="K233" s="97">
        <f t="shared" si="46"/>
        <v>276.40532363387138</v>
      </c>
      <c r="L233" s="97">
        <f t="shared" si="46"/>
        <v>353.21207932712622</v>
      </c>
      <c r="M233" s="97">
        <f t="shared" si="46"/>
        <v>423.04367741029404</v>
      </c>
      <c r="N233" s="97">
        <f t="shared" si="46"/>
        <v>485.48317409055323</v>
      </c>
      <c r="O233" s="97">
        <f t="shared" si="46"/>
        <v>539.35961332077648</v>
      </c>
      <c r="P233" s="97">
        <f t="shared" si="46"/>
        <v>583.29389192175415</v>
      </c>
      <c r="Q233" s="97">
        <f t="shared" si="46"/>
        <v>624.47308624867242</v>
      </c>
      <c r="R233" s="97">
        <f t="shared" si="46"/>
        <v>639.98036611968575</v>
      </c>
      <c r="S233" s="97">
        <f t="shared" si="46"/>
        <v>651.51404988183469</v>
      </c>
      <c r="T233" s="97">
        <f t="shared" si="46"/>
        <v>651.51404988183469</v>
      </c>
      <c r="U233" s="97">
        <f t="shared" si="46"/>
        <v>639.98036611968575</v>
      </c>
      <c r="V233" s="97">
        <f t="shared" si="46"/>
        <v>624.47308624867242</v>
      </c>
      <c r="W233" s="97">
        <f t="shared" si="46"/>
        <v>583.29389192175415</v>
      </c>
      <c r="X233" s="97">
        <f t="shared" si="46"/>
        <v>539.35961332077648</v>
      </c>
      <c r="Y233" s="97">
        <f t="shared" si="46"/>
        <v>485.48317409055323</v>
      </c>
      <c r="Z233" s="97">
        <f t="shared" si="46"/>
        <v>423.04367741029404</v>
      </c>
      <c r="AA233" s="97">
        <f t="shared" si="46"/>
        <v>353.21207932712622</v>
      </c>
      <c r="AB233" s="97">
        <f t="shared" si="46"/>
        <v>276.40532363387138</v>
      </c>
      <c r="AC233" s="97">
        <f t="shared" si="46"/>
        <v>195.43681116856257</v>
      </c>
      <c r="AD233" s="97">
        <f t="shared" si="46"/>
        <v>111.47945130721106</v>
      </c>
      <c r="AE233" s="97">
        <f t="shared" si="46"/>
        <v>29.961759311434324</v>
      </c>
      <c r="AF233" s="28"/>
      <c r="AG233" s="11"/>
    </row>
    <row r="234" spans="1:33">
      <c r="B234" s="24" t="s">
        <v>938</v>
      </c>
      <c r="C234" s="14" t="s">
        <v>897</v>
      </c>
      <c r="D234" s="24" t="s">
        <v>927</v>
      </c>
      <c r="I234" s="24"/>
      <c r="AF234" s="28"/>
      <c r="AG234" s="11"/>
    </row>
    <row r="235" spans="1:33">
      <c r="A235" s="20" t="s">
        <v>896</v>
      </c>
      <c r="B235" s="11"/>
      <c r="C235" s="11"/>
      <c r="E235" s="14" t="s">
        <v>563</v>
      </c>
      <c r="F235" s="31">
        <f>$F$15</f>
        <v>0.7</v>
      </c>
      <c r="G235" s="19">
        <f>SUM(H235:AE235)/48</f>
        <v>194.34189116876601</v>
      </c>
      <c r="H235" s="2">
        <f>H233*(1-($F$16+$F$13)*$H$142)</f>
        <v>28.440770146717231</v>
      </c>
      <c r="I235" s="2">
        <f t="shared" ref="I235:AE235" si="47">I233*(1-($F$16+$F$13)*$H$142)</f>
        <v>105.82026968958937</v>
      </c>
      <c r="J235" s="2">
        <f t="shared" si="47"/>
        <v>185.51558895045332</v>
      </c>
      <c r="K235" s="2">
        <f t="shared" si="47"/>
        <v>262.37378770344293</v>
      </c>
      <c r="L235" s="2">
        <f t="shared" si="47"/>
        <v>335.28149855182676</v>
      </c>
      <c r="M235" s="2">
        <f t="shared" si="47"/>
        <v>401.56814111568224</v>
      </c>
      <c r="N235" s="2">
        <f t="shared" si="47"/>
        <v>460.83793748182069</v>
      </c>
      <c r="O235" s="2">
        <f t="shared" si="47"/>
        <v>511.97937442292817</v>
      </c>
      <c r="P235" s="2">
        <f t="shared" si="47"/>
        <v>553.68335803297566</v>
      </c>
      <c r="Q235" s="2">
        <f t="shared" si="47"/>
        <v>592.77211742474913</v>
      </c>
      <c r="R235" s="2">
        <f t="shared" si="47"/>
        <v>607.49218034989224</v>
      </c>
      <c r="S235" s="2">
        <f t="shared" si="47"/>
        <v>618.44036418030623</v>
      </c>
      <c r="T235" s="2">
        <f t="shared" si="47"/>
        <v>618.44036418030623</v>
      </c>
      <c r="U235" s="2">
        <f t="shared" si="47"/>
        <v>607.49218034989224</v>
      </c>
      <c r="V235" s="2">
        <f t="shared" si="47"/>
        <v>592.77211742474913</v>
      </c>
      <c r="W235" s="2">
        <f t="shared" si="47"/>
        <v>553.68335803297566</v>
      </c>
      <c r="X235" s="2">
        <f t="shared" si="47"/>
        <v>511.97937442292817</v>
      </c>
      <c r="Y235" s="2">
        <f t="shared" si="47"/>
        <v>460.83793748182069</v>
      </c>
      <c r="Z235" s="2">
        <f t="shared" si="47"/>
        <v>401.56814111568224</v>
      </c>
      <c r="AA235" s="2">
        <f t="shared" si="47"/>
        <v>335.28149855182676</v>
      </c>
      <c r="AB235" s="2">
        <f t="shared" si="47"/>
        <v>262.37378770344293</v>
      </c>
      <c r="AC235" s="2">
        <f t="shared" si="47"/>
        <v>185.51558895045332</v>
      </c>
      <c r="AD235" s="2">
        <f t="shared" si="47"/>
        <v>105.82026968958937</v>
      </c>
      <c r="AE235" s="2">
        <f t="shared" si="47"/>
        <v>28.440770146717231</v>
      </c>
      <c r="AF235" s="28"/>
      <c r="AG235" s="11"/>
    </row>
    <row r="236" spans="1:33">
      <c r="A236" s="3"/>
      <c r="B236" s="5" t="s">
        <v>1028</v>
      </c>
      <c r="C236" s="11"/>
      <c r="D236" t="s">
        <v>1024</v>
      </c>
      <c r="F236" s="27"/>
      <c r="G236" s="2"/>
      <c r="H236" s="2" t="s">
        <v>898</v>
      </c>
      <c r="I236" s="2"/>
      <c r="J236" s="2" t="s">
        <v>899</v>
      </c>
      <c r="K236" s="2"/>
      <c r="L236" t="s">
        <v>248</v>
      </c>
      <c r="M236" s="2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11"/>
    </row>
    <row r="237" spans="1:33">
      <c r="A237" t="s">
        <v>834</v>
      </c>
      <c r="B237" s="5"/>
      <c r="C237" s="11"/>
      <c r="D237" s="5" t="s">
        <v>910</v>
      </c>
      <c r="F237" t="s">
        <v>928</v>
      </c>
      <c r="G237" s="97">
        <f>SUM(H237:AE237)/48</f>
        <v>10.189456523341184</v>
      </c>
      <c r="H237" s="97">
        <f t="shared" ref="H237:AE237" si="48">H233*$H142*$F$16</f>
        <v>1.4911658477618548</v>
      </c>
      <c r="I237" s="97">
        <f t="shared" si="48"/>
        <v>5.5482172721781291</v>
      </c>
      <c r="J237" s="97">
        <f t="shared" si="48"/>
        <v>9.7266884491267174</v>
      </c>
      <c r="K237" s="97">
        <f t="shared" si="48"/>
        <v>13.756407774929839</v>
      </c>
      <c r="L237" s="97">
        <f t="shared" si="48"/>
        <v>17.579000760097479</v>
      </c>
      <c r="M237" s="97">
        <f t="shared" si="48"/>
        <v>21.054447347658598</v>
      </c>
      <c r="N237" s="97">
        <f t="shared" si="48"/>
        <v>24.16199667522794</v>
      </c>
      <c r="O237" s="97">
        <f t="shared" si="48"/>
        <v>26.84337146847869</v>
      </c>
      <c r="P237" s="97">
        <f t="shared" si="48"/>
        <v>29.029935185076951</v>
      </c>
      <c r="Q237" s="97">
        <f t="shared" si="48"/>
        <v>31.079381199924789</v>
      </c>
      <c r="R237" s="97">
        <f t="shared" si="48"/>
        <v>31.851162519405424</v>
      </c>
      <c r="S237" s="97">
        <f t="shared" si="48"/>
        <v>32.42518206032198</v>
      </c>
      <c r="T237" s="97">
        <f t="shared" si="48"/>
        <v>32.42518206032198</v>
      </c>
      <c r="U237" s="97">
        <f t="shared" si="48"/>
        <v>31.851162519405424</v>
      </c>
      <c r="V237" s="97">
        <f t="shared" si="48"/>
        <v>31.079381199924789</v>
      </c>
      <c r="W237" s="97">
        <f t="shared" si="48"/>
        <v>29.029935185076951</v>
      </c>
      <c r="X237" s="97">
        <f t="shared" si="48"/>
        <v>26.84337146847869</v>
      </c>
      <c r="Y237" s="97">
        <f t="shared" si="48"/>
        <v>24.16199667522794</v>
      </c>
      <c r="Z237" s="97">
        <f t="shared" si="48"/>
        <v>21.054447347658598</v>
      </c>
      <c r="AA237" s="97">
        <f t="shared" si="48"/>
        <v>17.579000760097479</v>
      </c>
      <c r="AB237" s="97">
        <f t="shared" si="48"/>
        <v>13.756407774929839</v>
      </c>
      <c r="AC237" s="97">
        <f t="shared" si="48"/>
        <v>9.7266884491267174</v>
      </c>
      <c r="AD237" s="97">
        <f t="shared" si="48"/>
        <v>5.5482172721781291</v>
      </c>
      <c r="AE237" s="97">
        <f t="shared" si="48"/>
        <v>1.4911658477618548</v>
      </c>
      <c r="AF237" s="28"/>
      <c r="AG237" s="11"/>
    </row>
    <row r="238" spans="1:33">
      <c r="A238" t="s">
        <v>930</v>
      </c>
      <c r="B238" s="5"/>
      <c r="C238" s="11"/>
      <c r="D238" s="5" t="s">
        <v>929</v>
      </c>
      <c r="G238" s="97">
        <f>SUM(H238:AE238)/48</f>
        <v>7.132619566338831</v>
      </c>
      <c r="H238" s="97">
        <f>H237*$F$15</f>
        <v>1.0438160934332983</v>
      </c>
      <c r="I238" s="97">
        <f t="shared" ref="I238:AE238" si="49">I237*$F$15</f>
        <v>3.8837520905246903</v>
      </c>
      <c r="J238" s="97">
        <f t="shared" si="49"/>
        <v>6.8086819143887016</v>
      </c>
      <c r="K238" s="97">
        <f t="shared" si="49"/>
        <v>9.6294854424508873</v>
      </c>
      <c r="L238" s="97">
        <f t="shared" si="49"/>
        <v>12.305300532068234</v>
      </c>
      <c r="M238" s="97">
        <f t="shared" si="49"/>
        <v>14.738113143361018</v>
      </c>
      <c r="N238" s="97">
        <f t="shared" si="49"/>
        <v>16.913397672659556</v>
      </c>
      <c r="O238" s="97">
        <f t="shared" si="49"/>
        <v>18.790360027935083</v>
      </c>
      <c r="P238" s="97">
        <f t="shared" si="49"/>
        <v>20.320954629553864</v>
      </c>
      <c r="Q238" s="97">
        <f t="shared" si="49"/>
        <v>21.755566839947353</v>
      </c>
      <c r="R238" s="97">
        <f t="shared" si="49"/>
        <v>22.295813763583794</v>
      </c>
      <c r="S238" s="97">
        <f t="shared" si="49"/>
        <v>22.697627442225386</v>
      </c>
      <c r="T238" s="97">
        <f t="shared" si="49"/>
        <v>22.697627442225386</v>
      </c>
      <c r="U238" s="97">
        <f t="shared" si="49"/>
        <v>22.295813763583794</v>
      </c>
      <c r="V238" s="97">
        <f t="shared" si="49"/>
        <v>21.755566839947353</v>
      </c>
      <c r="W238" s="97">
        <f t="shared" si="49"/>
        <v>20.320954629553864</v>
      </c>
      <c r="X238" s="97">
        <f t="shared" si="49"/>
        <v>18.790360027935083</v>
      </c>
      <c r="Y238" s="97">
        <f t="shared" si="49"/>
        <v>16.913397672659556</v>
      </c>
      <c r="Z238" s="97">
        <f t="shared" si="49"/>
        <v>14.738113143361018</v>
      </c>
      <c r="AA238" s="97">
        <f t="shared" si="49"/>
        <v>12.305300532068234</v>
      </c>
      <c r="AB238" s="97">
        <f t="shared" si="49"/>
        <v>9.6294854424508873</v>
      </c>
      <c r="AC238" s="97">
        <f t="shared" si="49"/>
        <v>6.8086819143887016</v>
      </c>
      <c r="AD238" s="97">
        <f t="shared" si="49"/>
        <v>3.8837520905246903</v>
      </c>
      <c r="AE238" s="97">
        <f t="shared" si="49"/>
        <v>1.0438160934332983</v>
      </c>
      <c r="AF238" s="28"/>
      <c r="AG238" s="11"/>
    </row>
    <row r="239" spans="1:33">
      <c r="A239" s="20" t="s">
        <v>835</v>
      </c>
      <c r="B239" s="5"/>
      <c r="C239" s="11"/>
      <c r="G239" s="19">
        <f>SUM(H239:AE239)/48</f>
        <v>6.7705367872975337</v>
      </c>
      <c r="H239" s="24">
        <f>H238*(1-($F$16+$F$13)*$H$142)</f>
        <v>0.99082745042449194</v>
      </c>
      <c r="I239" s="24">
        <f t="shared" ref="I239:AE239" si="50">I238*(1-($F$16+$F$13)*$H$142)</f>
        <v>3.6865959493670823</v>
      </c>
      <c r="J239" s="24">
        <f t="shared" si="50"/>
        <v>6.4630436189152345</v>
      </c>
      <c r="K239" s="24">
        <f t="shared" si="50"/>
        <v>9.1406508961370694</v>
      </c>
      <c r="L239" s="24">
        <f t="shared" si="50"/>
        <v>11.680629978402829</v>
      </c>
      <c r="M239" s="24">
        <f t="shared" si="50"/>
        <v>13.989942444623981</v>
      </c>
      <c r="N239" s="24">
        <f t="shared" si="50"/>
        <v>16.054800073924792</v>
      </c>
      <c r="O239" s="24">
        <f t="shared" si="50"/>
        <v>17.836479659744708</v>
      </c>
      <c r="P239" s="24">
        <f t="shared" si="50"/>
        <v>19.289374624955681</v>
      </c>
      <c r="Q239" s="24">
        <f t="shared" si="50"/>
        <v>20.65115968241404</v>
      </c>
      <c r="R239" s="24">
        <f t="shared" si="50"/>
        <v>21.163981323423332</v>
      </c>
      <c r="S239" s="24">
        <f t="shared" si="50"/>
        <v>21.545397192807581</v>
      </c>
      <c r="T239" s="24">
        <f t="shared" si="50"/>
        <v>21.545397192807581</v>
      </c>
      <c r="U239" s="24">
        <f t="shared" si="50"/>
        <v>21.163981323423332</v>
      </c>
      <c r="V239" s="24">
        <f t="shared" si="50"/>
        <v>20.65115968241404</v>
      </c>
      <c r="W239" s="24">
        <f t="shared" si="50"/>
        <v>19.289374624955681</v>
      </c>
      <c r="X239" s="24">
        <f t="shared" si="50"/>
        <v>17.836479659744708</v>
      </c>
      <c r="Y239" s="24">
        <f t="shared" si="50"/>
        <v>16.054800073924792</v>
      </c>
      <c r="Z239" s="24">
        <f t="shared" si="50"/>
        <v>13.989942444623981</v>
      </c>
      <c r="AA239" s="24">
        <f t="shared" si="50"/>
        <v>11.680629978402829</v>
      </c>
      <c r="AB239" s="24">
        <f t="shared" si="50"/>
        <v>9.1406508961370694</v>
      </c>
      <c r="AC239" s="24">
        <f t="shared" si="50"/>
        <v>6.4630436189152345</v>
      </c>
      <c r="AD239" s="24">
        <f t="shared" si="50"/>
        <v>3.6865959493670823</v>
      </c>
      <c r="AE239" s="24">
        <f t="shared" si="50"/>
        <v>0.99082745042449194</v>
      </c>
      <c r="AF239" s="28"/>
      <c r="AG239" s="11"/>
    </row>
    <row r="240" spans="1:33">
      <c r="A240" s="20"/>
      <c r="B240" s="24" t="s">
        <v>1030</v>
      </c>
      <c r="C240" s="11"/>
      <c r="D240" t="s">
        <v>1024</v>
      </c>
      <c r="G240" s="27"/>
      <c r="H240" s="24" t="s">
        <v>900</v>
      </c>
      <c r="K240" t="s">
        <v>853</v>
      </c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8"/>
      <c r="AG240" s="11"/>
    </row>
    <row r="241" spans="1:33">
      <c r="A241" s="100" t="s">
        <v>836</v>
      </c>
      <c r="B241" s="5"/>
      <c r="C241" s="11"/>
      <c r="G241" s="19">
        <f>SUM(H241:AE241)/48</f>
        <v>0.23587384126226152</v>
      </c>
      <c r="H241" s="2">
        <f>H239^2/H235</f>
        <v>3.4518721942134754E-2</v>
      </c>
      <c r="I241" s="2">
        <f t="shared" ref="I241:AE241" si="51">I239^2/I235</f>
        <v>0.12843465371764087</v>
      </c>
      <c r="J241" s="2">
        <f t="shared" si="51"/>
        <v>0.22516130884912816</v>
      </c>
      <c r="K241" s="2">
        <f t="shared" si="51"/>
        <v>0.31844453493764546</v>
      </c>
      <c r="L241" s="2">
        <f t="shared" si="51"/>
        <v>0.40693303174100692</v>
      </c>
      <c r="M241" s="2">
        <f t="shared" si="51"/>
        <v>0.48738550090185012</v>
      </c>
      <c r="N241" s="2">
        <f t="shared" si="51"/>
        <v>0.55932158455132308</v>
      </c>
      <c r="O241" s="2">
        <f t="shared" si="51"/>
        <v>0.6213922328630419</v>
      </c>
      <c r="P241" s="2">
        <f t="shared" si="51"/>
        <v>0.67200859123478329</v>
      </c>
      <c r="Q241" s="2">
        <f t="shared" si="51"/>
        <v>0.71945083733244664</v>
      </c>
      <c r="R241" s="2">
        <f t="shared" si="51"/>
        <v>0.73731666010948527</v>
      </c>
      <c r="S241" s="2">
        <f t="shared" si="51"/>
        <v>0.7506045321137903</v>
      </c>
      <c r="T241" s="2">
        <f t="shared" si="51"/>
        <v>0.7506045321137903</v>
      </c>
      <c r="U241" s="2">
        <f t="shared" si="51"/>
        <v>0.73731666010948527</v>
      </c>
      <c r="V241" s="2">
        <f t="shared" si="51"/>
        <v>0.71945083733244664</v>
      </c>
      <c r="W241" s="2">
        <f t="shared" si="51"/>
        <v>0.67200859123478329</v>
      </c>
      <c r="X241" s="2">
        <f t="shared" si="51"/>
        <v>0.6213922328630419</v>
      </c>
      <c r="Y241" s="2">
        <f t="shared" si="51"/>
        <v>0.55932158455132308</v>
      </c>
      <c r="Z241" s="2">
        <f t="shared" si="51"/>
        <v>0.48738550090185012</v>
      </c>
      <c r="AA241" s="2">
        <f t="shared" si="51"/>
        <v>0.40693303174100692</v>
      </c>
      <c r="AB241" s="2">
        <f t="shared" si="51"/>
        <v>0.31844453493764546</v>
      </c>
      <c r="AC241" s="2">
        <f t="shared" si="51"/>
        <v>0.22516130884912816</v>
      </c>
      <c r="AD241" s="2">
        <f t="shared" si="51"/>
        <v>0.12843465371764087</v>
      </c>
      <c r="AE241" s="2">
        <f t="shared" si="51"/>
        <v>3.4518721942134754E-2</v>
      </c>
      <c r="AF241" s="28"/>
      <c r="AG241" s="11"/>
    </row>
    <row r="242" spans="1:33">
      <c r="A242" s="100"/>
      <c r="B242" s="24" t="s">
        <v>931</v>
      </c>
      <c r="C242" s="11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8"/>
      <c r="AG242" s="11"/>
    </row>
    <row r="243" spans="1:33">
      <c r="A243" s="20" t="s">
        <v>901</v>
      </c>
      <c r="B243" s="11"/>
      <c r="C243" s="11"/>
      <c r="D243" s="24"/>
      <c r="E243" s="27"/>
      <c r="F243" s="6"/>
      <c r="G243" s="19">
        <f>SUM(H243:AE243)/24</f>
        <v>264.77650940590888</v>
      </c>
      <c r="H243" s="2">
        <f>$M$9*($F$7+273)^4*(1-$H$142)</f>
        <v>264.77650940590894</v>
      </c>
      <c r="I243" s="2">
        <f t="shared" ref="I243:AE243" si="52">$M$9*($F$7+273)^4*(1-$H$142)</f>
        <v>264.77650940590894</v>
      </c>
      <c r="J243" s="2">
        <f t="shared" si="52"/>
        <v>264.77650940590894</v>
      </c>
      <c r="K243" s="2">
        <f t="shared" si="52"/>
        <v>264.77650940590894</v>
      </c>
      <c r="L243" s="2">
        <f t="shared" si="52"/>
        <v>264.77650940590894</v>
      </c>
      <c r="M243" s="2">
        <f t="shared" si="52"/>
        <v>264.77650940590894</v>
      </c>
      <c r="N243" s="2">
        <f t="shared" si="52"/>
        <v>264.77650940590894</v>
      </c>
      <c r="O243" s="2">
        <f t="shared" si="52"/>
        <v>264.77650940590894</v>
      </c>
      <c r="P243" s="2">
        <f t="shared" si="52"/>
        <v>264.77650940590894</v>
      </c>
      <c r="Q243" s="2">
        <f t="shared" si="52"/>
        <v>264.77650940590894</v>
      </c>
      <c r="R243" s="2">
        <f t="shared" si="52"/>
        <v>264.77650940590894</v>
      </c>
      <c r="S243" s="2">
        <f t="shared" si="52"/>
        <v>264.77650940590894</v>
      </c>
      <c r="T243" s="2">
        <f t="shared" si="52"/>
        <v>264.77650940590894</v>
      </c>
      <c r="U243" s="2">
        <f t="shared" si="52"/>
        <v>264.77650940590894</v>
      </c>
      <c r="V243" s="2">
        <f t="shared" si="52"/>
        <v>264.77650940590894</v>
      </c>
      <c r="W243" s="2">
        <f t="shared" si="52"/>
        <v>264.77650940590894</v>
      </c>
      <c r="X243" s="2">
        <f t="shared" si="52"/>
        <v>264.77650940590894</v>
      </c>
      <c r="Y243" s="2">
        <f t="shared" si="52"/>
        <v>264.77650940590894</v>
      </c>
      <c r="Z243" s="2">
        <f t="shared" si="52"/>
        <v>264.77650940590894</v>
      </c>
      <c r="AA243" s="2">
        <f t="shared" si="52"/>
        <v>264.77650940590894</v>
      </c>
      <c r="AB243" s="2">
        <f t="shared" si="52"/>
        <v>264.77650940590894</v>
      </c>
      <c r="AC243" s="2">
        <f t="shared" si="52"/>
        <v>264.77650940590894</v>
      </c>
      <c r="AD243" s="2">
        <f t="shared" si="52"/>
        <v>264.77650940590894</v>
      </c>
      <c r="AE243" s="2">
        <f t="shared" si="52"/>
        <v>264.77650940590894</v>
      </c>
      <c r="AF243" s="28"/>
      <c r="AG243" s="11"/>
    </row>
    <row r="244" spans="1:33">
      <c r="A244" s="14"/>
      <c r="B244" s="5" t="s">
        <v>1016</v>
      </c>
      <c r="D244" t="s">
        <v>1017</v>
      </c>
      <c r="E244" s="12"/>
      <c r="F244" s="6"/>
      <c r="G244" s="2"/>
      <c r="H244" s="2" t="s">
        <v>902</v>
      </c>
      <c r="J244" s="10"/>
      <c r="K244" s="9"/>
      <c r="AF244" s="2"/>
    </row>
    <row r="245" spans="1:33">
      <c r="A245" s="20" t="s">
        <v>914</v>
      </c>
      <c r="B245" s="11"/>
      <c r="C245" s="11"/>
      <c r="D245" s="11"/>
      <c r="E245" s="27"/>
      <c r="F245" s="6"/>
      <c r="G245" s="19">
        <f>SUM(H245:AE245)/24</f>
        <v>12.551783676120003</v>
      </c>
      <c r="H245" s="24">
        <f t="shared" ref="H245:AE245" si="53">$M$9*($F$9+273)^4*$F$11*$H$18</f>
        <v>12.551783676119999</v>
      </c>
      <c r="I245" s="24">
        <f t="shared" si="53"/>
        <v>12.551783676119999</v>
      </c>
      <c r="J245" s="24">
        <f t="shared" si="53"/>
        <v>12.551783676119999</v>
      </c>
      <c r="K245" s="24">
        <f t="shared" si="53"/>
        <v>12.551783676119999</v>
      </c>
      <c r="L245" s="24">
        <f t="shared" si="53"/>
        <v>12.551783676119999</v>
      </c>
      <c r="M245" s="24">
        <f t="shared" si="53"/>
        <v>12.551783676119999</v>
      </c>
      <c r="N245" s="24">
        <f t="shared" si="53"/>
        <v>12.551783676119999</v>
      </c>
      <c r="O245" s="24">
        <f t="shared" si="53"/>
        <v>12.551783676119999</v>
      </c>
      <c r="P245" s="24">
        <f t="shared" si="53"/>
        <v>12.551783676119999</v>
      </c>
      <c r="Q245" s="24">
        <f t="shared" si="53"/>
        <v>12.551783676119999</v>
      </c>
      <c r="R245" s="24">
        <f t="shared" si="53"/>
        <v>12.551783676119999</v>
      </c>
      <c r="S245" s="24">
        <f t="shared" si="53"/>
        <v>12.551783676119999</v>
      </c>
      <c r="T245" s="24">
        <f t="shared" si="53"/>
        <v>12.551783676119999</v>
      </c>
      <c r="U245" s="24">
        <f t="shared" si="53"/>
        <v>12.551783676119999</v>
      </c>
      <c r="V245" s="24">
        <f t="shared" si="53"/>
        <v>12.551783676119999</v>
      </c>
      <c r="W245" s="24">
        <f t="shared" si="53"/>
        <v>12.551783676119999</v>
      </c>
      <c r="X245" s="24">
        <f t="shared" si="53"/>
        <v>12.551783676119999</v>
      </c>
      <c r="Y245" s="24">
        <f t="shared" si="53"/>
        <v>12.551783676119999</v>
      </c>
      <c r="Z245" s="24">
        <f t="shared" si="53"/>
        <v>12.551783676119999</v>
      </c>
      <c r="AA245" s="24">
        <f t="shared" si="53"/>
        <v>12.551783676119999</v>
      </c>
      <c r="AB245" s="24">
        <f t="shared" si="53"/>
        <v>12.551783676119999</v>
      </c>
      <c r="AC245" s="24">
        <f t="shared" si="53"/>
        <v>12.551783676119999</v>
      </c>
      <c r="AD245" s="24">
        <f t="shared" si="53"/>
        <v>12.551783676119999</v>
      </c>
      <c r="AE245" s="24">
        <f t="shared" si="53"/>
        <v>12.551783676119999</v>
      </c>
      <c r="AF245" s="28"/>
      <c r="AG245" s="11"/>
    </row>
    <row r="246" spans="1:33">
      <c r="A246" s="20"/>
      <c r="B246" s="5" t="s">
        <v>272</v>
      </c>
      <c r="C246" s="11"/>
      <c r="D246" t="s">
        <v>743</v>
      </c>
      <c r="E246" s="27"/>
      <c r="F246" s="6"/>
      <c r="G246" s="28"/>
      <c r="H246" t="s">
        <v>717</v>
      </c>
      <c r="I246" s="29"/>
      <c r="J246" s="11"/>
      <c r="K246" s="2" t="s">
        <v>273</v>
      </c>
      <c r="L246" s="11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11"/>
    </row>
    <row r="247" spans="1:33">
      <c r="A247" s="20"/>
      <c r="B247" s="27" t="s">
        <v>925</v>
      </c>
      <c r="C247" s="11" t="s">
        <v>266</v>
      </c>
      <c r="E247" s="27"/>
      <c r="F247" s="6"/>
      <c r="G247" s="28"/>
      <c r="I247" s="29"/>
      <c r="J247" s="11"/>
      <c r="K247" s="2"/>
      <c r="L247" s="11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11"/>
    </row>
    <row r="248" spans="1:33">
      <c r="A248" s="20"/>
      <c r="B248" s="14"/>
      <c r="C248" t="s">
        <v>274</v>
      </c>
      <c r="E248" s="27"/>
      <c r="F248" s="6"/>
      <c r="G248" s="28"/>
      <c r="I248" s="29"/>
      <c r="J248" s="11"/>
      <c r="K248" s="2"/>
      <c r="L248" s="11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11"/>
    </row>
    <row r="249" spans="1:33">
      <c r="A249" s="20"/>
      <c r="B249" s="16" t="s">
        <v>334</v>
      </c>
      <c r="C249" s="11"/>
      <c r="D249" s="11"/>
      <c r="E249" s="21"/>
      <c r="F249" s="21"/>
      <c r="G249" s="82">
        <f>G229+G235+G245+G243</f>
        <v>487.66559237645856</v>
      </c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8"/>
      <c r="AG249" s="11"/>
    </row>
    <row r="250" spans="1:33">
      <c r="A250" s="20"/>
      <c r="B250" s="16" t="s">
        <v>730</v>
      </c>
      <c r="C250" s="11"/>
      <c r="D250" s="11"/>
      <c r="E250" s="21"/>
      <c r="F250" s="21"/>
      <c r="G250" s="82">
        <f>G226-G249</f>
        <v>22.535423479839324</v>
      </c>
      <c r="H250" s="24"/>
      <c r="I250" s="32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8"/>
      <c r="AG250" s="11"/>
    </row>
    <row r="251" spans="1:33">
      <c r="A251" s="20"/>
      <c r="B251" s="16"/>
      <c r="C251" s="11"/>
      <c r="D251" s="11"/>
      <c r="E251" s="21"/>
      <c r="F251" s="21"/>
      <c r="G251" s="82"/>
      <c r="I251" s="32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8"/>
      <c r="AG251" s="11"/>
    </row>
    <row r="252" spans="1:33">
      <c r="A252" s="3"/>
      <c r="B252" s="16"/>
      <c r="E252" s="12"/>
      <c r="F252" s="6"/>
      <c r="G252" s="32"/>
      <c r="H252" s="2"/>
      <c r="I252" s="2"/>
      <c r="K252" s="10"/>
      <c r="L252" s="9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3" ht="18.75">
      <c r="A253" s="85" t="s">
        <v>507</v>
      </c>
      <c r="B253" s="30" t="s">
        <v>609</v>
      </c>
      <c r="H253" s="4" t="s">
        <v>484</v>
      </c>
      <c r="I253" s="4" t="s">
        <v>486</v>
      </c>
      <c r="J253" s="4" t="s">
        <v>485</v>
      </c>
      <c r="K253" s="4" t="s">
        <v>487</v>
      </c>
      <c r="L253" s="4" t="s">
        <v>488</v>
      </c>
      <c r="M253" s="4" t="s">
        <v>489</v>
      </c>
      <c r="N253" s="4" t="s">
        <v>490</v>
      </c>
      <c r="O253" s="4" t="s">
        <v>491</v>
      </c>
      <c r="P253" s="4" t="s">
        <v>494</v>
      </c>
      <c r="Q253" s="4" t="s">
        <v>492</v>
      </c>
      <c r="R253" s="4" t="s">
        <v>495</v>
      </c>
      <c r="S253" s="4" t="s">
        <v>493</v>
      </c>
      <c r="T253" s="4" t="s">
        <v>515</v>
      </c>
      <c r="U253" s="4" t="s">
        <v>517</v>
      </c>
      <c r="V253" s="4" t="s">
        <v>518</v>
      </c>
      <c r="W253" s="4" t="s">
        <v>516</v>
      </c>
      <c r="X253" s="4" t="s">
        <v>519</v>
      </c>
      <c r="Y253" s="4" t="s">
        <v>520</v>
      </c>
      <c r="Z253" s="4" t="s">
        <v>521</v>
      </c>
      <c r="AA253" s="4" t="s">
        <v>522</v>
      </c>
      <c r="AB253" s="4" t="s">
        <v>523</v>
      </c>
      <c r="AC253" s="4" t="s">
        <v>524</v>
      </c>
      <c r="AD253" s="4" t="s">
        <v>525</v>
      </c>
      <c r="AE253" s="4" t="s">
        <v>526</v>
      </c>
      <c r="AF253" s="2"/>
    </row>
    <row r="254" spans="1:33">
      <c r="A254" s="3" t="s">
        <v>722</v>
      </c>
      <c r="G254" t="s">
        <v>535</v>
      </c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2"/>
    </row>
    <row r="255" spans="1:33">
      <c r="A255" t="s">
        <v>561</v>
      </c>
      <c r="B255" s="11"/>
      <c r="C255" s="11"/>
      <c r="D255" s="5" t="s">
        <v>905</v>
      </c>
      <c r="E255" s="12"/>
      <c r="F255" s="6"/>
      <c r="G255" s="2">
        <f>SUM(H255:AE255)/48</f>
        <v>280.27298317302285</v>
      </c>
      <c r="H255" s="2">
        <f>H$64</f>
        <v>57.959142451783471</v>
      </c>
      <c r="I255" s="2">
        <f t="shared" ref="I255:AE255" si="54">I$64</f>
        <v>172.04062231293</v>
      </c>
      <c r="J255" s="2">
        <f t="shared" si="54"/>
        <v>283.28172087777227</v>
      </c>
      <c r="K255" s="2">
        <f t="shared" si="54"/>
        <v>389.39263549614606</v>
      </c>
      <c r="L255" s="2">
        <f t="shared" si="54"/>
        <v>488.99790893945635</v>
      </c>
      <c r="M255" s="2">
        <f t="shared" si="54"/>
        <v>580.31268855220014</v>
      </c>
      <c r="N255" s="2">
        <f t="shared" si="54"/>
        <v>661.48235294617166</v>
      </c>
      <c r="O255" s="2">
        <f t="shared" si="54"/>
        <v>731.46772369833616</v>
      </c>
      <c r="P255" s="2">
        <f t="shared" si="54"/>
        <v>788.95747478089834</v>
      </c>
      <c r="Q255" s="2">
        <f t="shared" si="54"/>
        <v>832.74460956695975</v>
      </c>
      <c r="R255" s="2">
        <f t="shared" si="54"/>
        <v>862.50408463262829</v>
      </c>
      <c r="S255" s="2">
        <f t="shared" si="54"/>
        <v>877.41063189726526</v>
      </c>
      <c r="T255" s="2">
        <f t="shared" si="54"/>
        <v>877.41063189726526</v>
      </c>
      <c r="U255" s="2">
        <f t="shared" si="54"/>
        <v>862.50408463262829</v>
      </c>
      <c r="V255" s="2">
        <f t="shared" si="54"/>
        <v>832.74460956695975</v>
      </c>
      <c r="W255" s="2">
        <f t="shared" si="54"/>
        <v>788.95747478089834</v>
      </c>
      <c r="X255" s="2">
        <f t="shared" si="54"/>
        <v>731.46772369833616</v>
      </c>
      <c r="Y255" s="2">
        <f t="shared" si="54"/>
        <v>661.48235294617166</v>
      </c>
      <c r="Z255" s="2">
        <f t="shared" si="54"/>
        <v>580.31268855220014</v>
      </c>
      <c r="AA255" s="2">
        <f t="shared" si="54"/>
        <v>488.99790893945635</v>
      </c>
      <c r="AB255" s="2">
        <f t="shared" si="54"/>
        <v>389.39263549614606</v>
      </c>
      <c r="AC255" s="2">
        <f t="shared" si="54"/>
        <v>283.28172087777227</v>
      </c>
      <c r="AD255" s="2">
        <f t="shared" si="54"/>
        <v>172.04062231293</v>
      </c>
      <c r="AE255" s="2">
        <f t="shared" si="54"/>
        <v>57.959142451783471</v>
      </c>
      <c r="AF255" s="2"/>
    </row>
    <row r="256" spans="1:33">
      <c r="A256" s="20" t="s">
        <v>824</v>
      </c>
      <c r="B256" s="11"/>
      <c r="C256" s="11"/>
      <c r="D256" t="s">
        <v>906</v>
      </c>
      <c r="E256" s="12"/>
      <c r="F256" s="18"/>
      <c r="G256" s="19">
        <f>SUM(H256:AE256)/48</f>
        <v>28.027298317302293</v>
      </c>
      <c r="H256" s="2">
        <f>H$64*$P$20</f>
        <v>5.7959142451783476</v>
      </c>
      <c r="I256" s="2">
        <f t="shared" ref="I256:AE256" si="55">I$64*$P$20</f>
        <v>17.204062231293001</v>
      </c>
      <c r="J256" s="2">
        <f t="shared" si="55"/>
        <v>28.328172087777229</v>
      </c>
      <c r="K256" s="2">
        <f t="shared" si="55"/>
        <v>38.939263549614608</v>
      </c>
      <c r="L256" s="2">
        <f t="shared" si="55"/>
        <v>48.899790893945635</v>
      </c>
      <c r="M256" s="2">
        <f t="shared" si="55"/>
        <v>58.03126885522002</v>
      </c>
      <c r="N256" s="2">
        <f t="shared" si="55"/>
        <v>66.148235294617166</v>
      </c>
      <c r="O256" s="2">
        <f t="shared" si="55"/>
        <v>73.146772369833613</v>
      </c>
      <c r="P256" s="2">
        <f t="shared" si="55"/>
        <v>78.895747478089845</v>
      </c>
      <c r="Q256" s="2">
        <f t="shared" si="55"/>
        <v>83.274460956695975</v>
      </c>
      <c r="R256" s="2">
        <f t="shared" si="55"/>
        <v>86.250408463262829</v>
      </c>
      <c r="S256" s="2">
        <f t="shared" si="55"/>
        <v>87.741063189726532</v>
      </c>
      <c r="T256" s="2">
        <f t="shared" si="55"/>
        <v>87.741063189726532</v>
      </c>
      <c r="U256" s="2">
        <f t="shared" si="55"/>
        <v>86.250408463262829</v>
      </c>
      <c r="V256" s="2">
        <f t="shared" si="55"/>
        <v>83.274460956695975</v>
      </c>
      <c r="W256" s="2">
        <f t="shared" si="55"/>
        <v>78.895747478089845</v>
      </c>
      <c r="X256" s="2">
        <f t="shared" si="55"/>
        <v>73.146772369833613</v>
      </c>
      <c r="Y256" s="2">
        <f t="shared" si="55"/>
        <v>66.148235294617166</v>
      </c>
      <c r="Z256" s="2">
        <f t="shared" si="55"/>
        <v>58.03126885522002</v>
      </c>
      <c r="AA256" s="2">
        <f t="shared" si="55"/>
        <v>48.899790893945635</v>
      </c>
      <c r="AB256" s="2">
        <f t="shared" si="55"/>
        <v>38.939263549614608</v>
      </c>
      <c r="AC256" s="2">
        <f t="shared" si="55"/>
        <v>28.328172087777229</v>
      </c>
      <c r="AD256" s="2">
        <f t="shared" si="55"/>
        <v>17.204062231293001</v>
      </c>
      <c r="AE256" s="2">
        <f t="shared" si="55"/>
        <v>5.7959142451783476</v>
      </c>
      <c r="AF256" s="2"/>
    </row>
    <row r="257" spans="1:33">
      <c r="A257" s="20"/>
      <c r="B257" s="5" t="s">
        <v>944</v>
      </c>
      <c r="C257" s="11"/>
      <c r="D257" t="s">
        <v>768</v>
      </c>
      <c r="E257" s="12"/>
      <c r="F257" s="18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3">
      <c r="A258" s="20" t="s">
        <v>825</v>
      </c>
      <c r="D258" t="s">
        <v>907</v>
      </c>
      <c r="G258" s="19">
        <f>SUM(H258:AE258)/24</f>
        <v>365.61213149699984</v>
      </c>
      <c r="H258" s="2">
        <f>$P$24</f>
        <v>365.61213149700001</v>
      </c>
      <c r="I258" s="2">
        <f t="shared" ref="I258:AE258" si="56">$P$24</f>
        <v>365.61213149700001</v>
      </c>
      <c r="J258" s="2">
        <f t="shared" si="56"/>
        <v>365.61213149700001</v>
      </c>
      <c r="K258" s="2">
        <f t="shared" si="56"/>
        <v>365.61213149700001</v>
      </c>
      <c r="L258" s="2">
        <f t="shared" si="56"/>
        <v>365.61213149700001</v>
      </c>
      <c r="M258" s="2">
        <f t="shared" si="56"/>
        <v>365.61213149700001</v>
      </c>
      <c r="N258" s="2">
        <f t="shared" si="56"/>
        <v>365.61213149700001</v>
      </c>
      <c r="O258" s="2">
        <f t="shared" si="56"/>
        <v>365.61213149700001</v>
      </c>
      <c r="P258" s="2">
        <f t="shared" si="56"/>
        <v>365.61213149700001</v>
      </c>
      <c r="Q258" s="2">
        <f t="shared" si="56"/>
        <v>365.61213149700001</v>
      </c>
      <c r="R258" s="2">
        <f t="shared" si="56"/>
        <v>365.61213149700001</v>
      </c>
      <c r="S258" s="2">
        <f t="shared" si="56"/>
        <v>365.61213149700001</v>
      </c>
      <c r="T258" s="2">
        <f t="shared" si="56"/>
        <v>365.61213149700001</v>
      </c>
      <c r="U258" s="2">
        <f t="shared" si="56"/>
        <v>365.61213149700001</v>
      </c>
      <c r="V258" s="2">
        <f t="shared" si="56"/>
        <v>365.61213149700001</v>
      </c>
      <c r="W258" s="2">
        <f t="shared" si="56"/>
        <v>365.61213149700001</v>
      </c>
      <c r="X258" s="2">
        <f t="shared" si="56"/>
        <v>365.61213149700001</v>
      </c>
      <c r="Y258" s="2">
        <f t="shared" si="56"/>
        <v>365.61213149700001</v>
      </c>
      <c r="Z258" s="2">
        <f t="shared" si="56"/>
        <v>365.61213149700001</v>
      </c>
      <c r="AA258" s="2">
        <f t="shared" si="56"/>
        <v>365.61213149700001</v>
      </c>
      <c r="AB258" s="2">
        <f t="shared" si="56"/>
        <v>365.61213149700001</v>
      </c>
      <c r="AC258" s="2">
        <f t="shared" si="56"/>
        <v>365.61213149700001</v>
      </c>
      <c r="AD258" s="2">
        <f t="shared" si="56"/>
        <v>365.61213149700001</v>
      </c>
      <c r="AE258" s="2">
        <f t="shared" si="56"/>
        <v>365.61213149700001</v>
      </c>
      <c r="AF258" s="2"/>
    </row>
    <row r="259" spans="1:33">
      <c r="A259" s="20"/>
      <c r="B259" s="16" t="s">
        <v>720</v>
      </c>
      <c r="G259" s="32">
        <f>G256+G258</f>
        <v>393.6394298143021</v>
      </c>
      <c r="H259" s="3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3">
      <c r="A260" s="39" t="s">
        <v>507</v>
      </c>
      <c r="B260" s="16"/>
      <c r="G260" s="3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3">
      <c r="A261" s="3" t="s">
        <v>322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3" s="27" customFormat="1">
      <c r="A262" s="27" t="s">
        <v>1032</v>
      </c>
      <c r="G262" s="55"/>
      <c r="H262" s="101">
        <f ca="1">Tabelle3!D$17</f>
        <v>0.68195411344344925</v>
      </c>
      <c r="I262" s="101">
        <f ca="1">Tabelle3!E$17</f>
        <v>0.33510555696342775</v>
      </c>
      <c r="J262" s="101">
        <f ca="1">Tabelle3!F$17</f>
        <v>0.22218776166370524</v>
      </c>
      <c r="K262" s="101">
        <f ca="1">Tabelle3!G$17</f>
        <v>0.16835553936579839</v>
      </c>
      <c r="L262" s="101">
        <f ca="1">Tabelle3!H$17</f>
        <v>0.13271810015354585</v>
      </c>
      <c r="M262" s="101">
        <f ca="1">Tabelle3!I$17</f>
        <v>0.11347600185914532</v>
      </c>
      <c r="N262" s="101">
        <f ca="1">Tabelle3!J$17</f>
        <v>0.10097019712514221</v>
      </c>
      <c r="O262" s="101">
        <f ca="1">Tabelle3!K$17</f>
        <v>9.1948247453627396E-2</v>
      </c>
      <c r="P262" s="101">
        <f ca="1">Tabelle3!L$17</f>
        <v>8.5097148566614392E-2</v>
      </c>
      <c r="Q262" s="101">
        <f ca="1">Tabelle3!M$17</f>
        <v>8.0982325901105157E-2</v>
      </c>
      <c r="R262" s="101">
        <f ca="1">Tabelle3!N$17</f>
        <v>7.8575576385103929E-2</v>
      </c>
      <c r="S262" s="101">
        <f ca="1">Tabelle3!O$17</f>
        <v>7.7349496442990107E-2</v>
      </c>
      <c r="T262" s="101">
        <f ca="1">Tabelle3!P$17</f>
        <v>7.7349496442990107E-2</v>
      </c>
      <c r="U262" s="101">
        <f ca="1">Tabelle3!Q$17</f>
        <v>7.8575576385103929E-2</v>
      </c>
      <c r="V262" s="101">
        <f ca="1">Tabelle3!R$17</f>
        <v>8.0982325901105157E-2</v>
      </c>
      <c r="W262" s="101">
        <f ca="1">Tabelle3!S$17</f>
        <v>8.5097148566614392E-2</v>
      </c>
      <c r="X262" s="101">
        <f ca="1">Tabelle3!T$17</f>
        <v>9.1948247453627396E-2</v>
      </c>
      <c r="Y262" s="101">
        <f ca="1">Tabelle3!U$17</f>
        <v>0.10097019712514221</v>
      </c>
      <c r="Z262" s="101">
        <f ca="1">Tabelle3!V$17</f>
        <v>0.11347600185914532</v>
      </c>
      <c r="AA262" s="101">
        <f ca="1">Tabelle3!W$17</f>
        <v>0.13271810015354585</v>
      </c>
      <c r="AB262" s="101">
        <f ca="1">Tabelle3!X$17</f>
        <v>0.16835553936579839</v>
      </c>
      <c r="AC262" s="101">
        <f ca="1">Tabelle3!Y$17</f>
        <v>0.22218776166370524</v>
      </c>
      <c r="AD262" s="101">
        <f ca="1">Tabelle3!Z$17</f>
        <v>0.33510555696342775</v>
      </c>
      <c r="AE262" s="101">
        <f ca="1">Tabelle3!AA$17</f>
        <v>0.68195411344344925</v>
      </c>
      <c r="AF262" s="55"/>
    </row>
    <row r="263" spans="1:33" s="27" customFormat="1">
      <c r="A263" s="27" t="s">
        <v>830</v>
      </c>
      <c r="F263" s="10">
        <f ca="1">Tabelle3!N$80</f>
        <v>1.9907587298357079</v>
      </c>
      <c r="H263" s="107">
        <f ca="1">$F$11*$F$142</f>
        <v>9.9537936491785398E-2</v>
      </c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55"/>
    </row>
    <row r="264" spans="1:33" ht="15" customHeight="1">
      <c r="A264" s="3" t="s">
        <v>831</v>
      </c>
      <c r="B264" s="11"/>
      <c r="C264" s="11"/>
      <c r="D264" s="11"/>
      <c r="E264" s="27"/>
      <c r="F264" s="6"/>
      <c r="G264" s="19">
        <f>SUM(H264:AE264)/48</f>
        <v>15.847659412094414</v>
      </c>
      <c r="H264" s="24">
        <f>H$64*H$262*$F$16</f>
        <v>19.762737803324292</v>
      </c>
      <c r="I264" s="24">
        <f>I$64*I$262*$F$16</f>
        <v>28.825884280254563</v>
      </c>
      <c r="J264" s="24">
        <f t="shared" ref="J264:AE264" si="57">J$64*J$262*$F$16</f>
        <v>31.470865741037368</v>
      </c>
      <c r="K264" s="24">
        <f t="shared" si="57"/>
        <v>32.778203587011703</v>
      </c>
      <c r="L264" s="24">
        <f t="shared" si="57"/>
        <v>32.449436726750633</v>
      </c>
      <c r="M264" s="24">
        <f t="shared" si="57"/>
        <v>32.925781862517539</v>
      </c>
      <c r="N264" s="24">
        <f t="shared" si="57"/>
        <v>33.395001785888923</v>
      </c>
      <c r="O264" s="24">
        <f t="shared" si="57"/>
        <v>33.628587631478084</v>
      </c>
      <c r="P264" s="24">
        <f t="shared" si="57"/>
        <v>33.569015722085517</v>
      </c>
      <c r="Q264" s="24">
        <f t="shared" si="57"/>
        <v>33.718797682170056</v>
      </c>
      <c r="R264" s="24">
        <f t="shared" si="57"/>
        <v>33.885877792257617</v>
      </c>
      <c r="S264" s="24">
        <f t="shared" si="57"/>
        <v>33.933635275489614</v>
      </c>
      <c r="T264" s="24">
        <f t="shared" si="57"/>
        <v>33.933635275489614</v>
      </c>
      <c r="U264" s="24">
        <f t="shared" si="57"/>
        <v>33.885877792257617</v>
      </c>
      <c r="V264" s="24">
        <f t="shared" si="57"/>
        <v>33.718797682170056</v>
      </c>
      <c r="W264" s="24">
        <f t="shared" si="57"/>
        <v>33.569015722085517</v>
      </c>
      <c r="X264" s="24">
        <f t="shared" si="57"/>
        <v>33.628587631478084</v>
      </c>
      <c r="Y264" s="24">
        <f t="shared" si="57"/>
        <v>33.395001785888923</v>
      </c>
      <c r="Z264" s="24">
        <f t="shared" si="57"/>
        <v>32.925781862517539</v>
      </c>
      <c r="AA264" s="24">
        <f t="shared" si="57"/>
        <v>32.449436726750633</v>
      </c>
      <c r="AB264" s="24">
        <f t="shared" si="57"/>
        <v>32.778203587011703</v>
      </c>
      <c r="AC264" s="24">
        <f t="shared" si="57"/>
        <v>31.470865741037368</v>
      </c>
      <c r="AD264" s="24">
        <f t="shared" si="57"/>
        <v>28.825884280254563</v>
      </c>
      <c r="AE264" s="24">
        <f t="shared" si="57"/>
        <v>19.762737803324292</v>
      </c>
      <c r="AF264" s="28"/>
      <c r="AG264" s="11"/>
    </row>
    <row r="265" spans="1:33">
      <c r="A265" s="3"/>
      <c r="B265" s="5" t="s">
        <v>939</v>
      </c>
      <c r="C265" s="11"/>
      <c r="D265" t="s">
        <v>1033</v>
      </c>
      <c r="F265" s="27"/>
      <c r="G265" t="s">
        <v>854</v>
      </c>
      <c r="I265" s="2"/>
      <c r="K265" s="2"/>
      <c r="M265" s="2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11"/>
    </row>
    <row r="266" spans="1:33">
      <c r="A266" s="3"/>
      <c r="C266" s="11"/>
      <c r="D266" s="2" t="s">
        <v>940</v>
      </c>
      <c r="F266" s="27"/>
      <c r="G266" s="2"/>
      <c r="I266" s="2"/>
      <c r="K266" s="2"/>
      <c r="M266" s="2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11"/>
    </row>
    <row r="267" spans="1:33">
      <c r="A267" t="s">
        <v>879</v>
      </c>
      <c r="C267" s="11"/>
      <c r="G267" s="98">
        <f>SUM(H267:AE267)/48</f>
        <v>264.10837057268657</v>
      </c>
      <c r="H267" s="97">
        <f>H$64*(1-($F$16+$F$13)*H$262)</f>
        <v>37.801149892392694</v>
      </c>
      <c r="I267" s="97">
        <f t="shared" ref="I267:AE267" si="58">I$64*(1-($F$16+$F$13)*I$262)</f>
        <v>142.63822034707036</v>
      </c>
      <c r="J267" s="97">
        <f t="shared" si="58"/>
        <v>251.18143782191416</v>
      </c>
      <c r="K267" s="97">
        <f t="shared" si="58"/>
        <v>355.95886783739411</v>
      </c>
      <c r="L267" s="97">
        <f t="shared" si="58"/>
        <v>455.89948347817068</v>
      </c>
      <c r="M267" s="97">
        <f t="shared" si="58"/>
        <v>546.72839105243224</v>
      </c>
      <c r="N267" s="97">
        <f t="shared" si="58"/>
        <v>627.41945112456494</v>
      </c>
      <c r="O267" s="97">
        <f t="shared" si="58"/>
        <v>697.16656431422848</v>
      </c>
      <c r="P267" s="97">
        <f t="shared" si="58"/>
        <v>754.71707874437118</v>
      </c>
      <c r="Q267" s="97">
        <f t="shared" si="58"/>
        <v>798.35143593114628</v>
      </c>
      <c r="R267" s="97">
        <f t="shared" si="58"/>
        <v>827.94048928452548</v>
      </c>
      <c r="S267" s="97">
        <f t="shared" si="58"/>
        <v>842.79832391626587</v>
      </c>
      <c r="T267" s="97">
        <f t="shared" si="58"/>
        <v>842.79832391626587</v>
      </c>
      <c r="U267" s="97">
        <f t="shared" si="58"/>
        <v>827.94048928452548</v>
      </c>
      <c r="V267" s="97">
        <f t="shared" si="58"/>
        <v>798.35143593114628</v>
      </c>
      <c r="W267" s="97">
        <f t="shared" si="58"/>
        <v>754.71707874437118</v>
      </c>
      <c r="X267" s="97">
        <f t="shared" si="58"/>
        <v>697.16656431422848</v>
      </c>
      <c r="Y267" s="97">
        <f t="shared" si="58"/>
        <v>627.41945112456494</v>
      </c>
      <c r="Z267" s="97">
        <f t="shared" si="58"/>
        <v>546.72839105243224</v>
      </c>
      <c r="AA267" s="97">
        <f t="shared" si="58"/>
        <v>455.89948347817068</v>
      </c>
      <c r="AB267" s="97">
        <f t="shared" si="58"/>
        <v>355.95886783739411</v>
      </c>
      <c r="AC267" s="97">
        <f t="shared" si="58"/>
        <v>251.18143782191416</v>
      </c>
      <c r="AD267" s="97">
        <f t="shared" si="58"/>
        <v>142.63822034707036</v>
      </c>
      <c r="AE267" s="97">
        <f t="shared" si="58"/>
        <v>37.801149892392694</v>
      </c>
      <c r="AF267" s="28"/>
      <c r="AG267" s="11"/>
    </row>
    <row r="268" spans="1:33">
      <c r="B268" s="24" t="s">
        <v>951</v>
      </c>
      <c r="D268" s="2" t="s">
        <v>961</v>
      </c>
      <c r="E268" s="24" t="s">
        <v>900</v>
      </c>
      <c r="H268" t="s">
        <v>853</v>
      </c>
      <c r="AF268" s="28"/>
      <c r="AG268" s="11"/>
    </row>
    <row r="269" spans="1:33">
      <c r="A269" t="s">
        <v>832</v>
      </c>
      <c r="C269" s="11"/>
      <c r="D269" s="24"/>
      <c r="G269" s="97">
        <f>SUM(H269:AE269)/48</f>
        <v>26.410837057268651</v>
      </c>
      <c r="H269" s="97">
        <f t="shared" ref="H269:AE269" si="59">H267*$P$20</f>
        <v>3.7801149892392694</v>
      </c>
      <c r="I269" s="97">
        <f t="shared" si="59"/>
        <v>14.263822034707037</v>
      </c>
      <c r="J269" s="97">
        <f t="shared" si="59"/>
        <v>25.118143782191417</v>
      </c>
      <c r="K269" s="97">
        <f t="shared" si="59"/>
        <v>35.59588678373941</v>
      </c>
      <c r="L269" s="97">
        <f t="shared" si="59"/>
        <v>45.589948347817071</v>
      </c>
      <c r="M269" s="97">
        <f t="shared" si="59"/>
        <v>54.672839105243227</v>
      </c>
      <c r="N269" s="97">
        <f t="shared" si="59"/>
        <v>62.741945112456499</v>
      </c>
      <c r="O269" s="97">
        <f t="shared" si="59"/>
        <v>69.716656431422848</v>
      </c>
      <c r="P269" s="97">
        <f t="shared" si="59"/>
        <v>75.471707874437115</v>
      </c>
      <c r="Q269" s="97">
        <f t="shared" si="59"/>
        <v>79.835143593114637</v>
      </c>
      <c r="R269" s="97">
        <f t="shared" si="59"/>
        <v>82.794048928452554</v>
      </c>
      <c r="S269" s="97">
        <f t="shared" si="59"/>
        <v>84.279832391626599</v>
      </c>
      <c r="T269" s="97">
        <f t="shared" si="59"/>
        <v>84.279832391626599</v>
      </c>
      <c r="U269" s="97">
        <f t="shared" si="59"/>
        <v>82.794048928452554</v>
      </c>
      <c r="V269" s="97">
        <f t="shared" si="59"/>
        <v>79.835143593114637</v>
      </c>
      <c r="W269" s="97">
        <f t="shared" si="59"/>
        <v>75.471707874437115</v>
      </c>
      <c r="X269" s="97">
        <f t="shared" si="59"/>
        <v>69.716656431422848</v>
      </c>
      <c r="Y269" s="97">
        <f t="shared" si="59"/>
        <v>62.741945112456499</v>
      </c>
      <c r="Z269" s="97">
        <f t="shared" si="59"/>
        <v>54.672839105243227</v>
      </c>
      <c r="AA269" s="97">
        <f t="shared" si="59"/>
        <v>45.589948347817071</v>
      </c>
      <c r="AB269" s="97">
        <f t="shared" si="59"/>
        <v>35.59588678373941</v>
      </c>
      <c r="AC269" s="97">
        <f t="shared" si="59"/>
        <v>25.118143782191417</v>
      </c>
      <c r="AD269" s="97">
        <f t="shared" si="59"/>
        <v>14.263822034707037</v>
      </c>
      <c r="AE269" s="97">
        <f t="shared" si="59"/>
        <v>3.7801149892392694</v>
      </c>
      <c r="AF269" s="28"/>
      <c r="AG269" s="11"/>
    </row>
    <row r="270" spans="1:33">
      <c r="B270" s="24" t="s">
        <v>912</v>
      </c>
      <c r="C270" s="14" t="s">
        <v>945</v>
      </c>
      <c r="D270" s="24" t="s">
        <v>1034</v>
      </c>
      <c r="F270" s="27"/>
      <c r="AF270" s="28"/>
      <c r="AG270" s="11"/>
    </row>
    <row r="271" spans="1:33">
      <c r="A271" s="20" t="s">
        <v>833</v>
      </c>
      <c r="B271" s="11"/>
      <c r="C271" s="11"/>
      <c r="D271" s="11"/>
      <c r="E271" s="27"/>
      <c r="F271" s="6"/>
      <c r="G271" s="19">
        <f>SUM(H271:AE271)/48</f>
        <v>25.070108144200987</v>
      </c>
      <c r="H271" s="24">
        <f>H269*(1-($F$16+$F$13)*$H$263)</f>
        <v>3.5882199179166916</v>
      </c>
      <c r="I271" s="24">
        <f t="shared" ref="I271:AE271" si="60">I269*(1-($F$16+$F$13)*$H$263)</f>
        <v>13.539728414678429</v>
      </c>
      <c r="J271" s="24">
        <f t="shared" si="60"/>
        <v>23.843037599893933</v>
      </c>
      <c r="K271" s="24">
        <f t="shared" si="60"/>
        <v>33.788884813534601</v>
      </c>
      <c r="L271" s="24">
        <f t="shared" si="60"/>
        <v>43.275604362329581</v>
      </c>
      <c r="M271" s="24">
        <f t="shared" si="60"/>
        <v>51.897408096034738</v>
      </c>
      <c r="N271" s="24">
        <f t="shared" si="60"/>
        <v>59.556891200989355</v>
      </c>
      <c r="O271" s="24">
        <f t="shared" si="60"/>
        <v>66.177535850074648</v>
      </c>
      <c r="P271" s="24">
        <f t="shared" si="60"/>
        <v>71.640435861117638</v>
      </c>
      <c r="Q271" s="24">
        <f t="shared" si="60"/>
        <v>75.782364612194783</v>
      </c>
      <c r="R271" s="24">
        <f t="shared" si="60"/>
        <v>78.591063048542125</v>
      </c>
      <c r="S271" s="24">
        <f t="shared" si="60"/>
        <v>80.001421683517208</v>
      </c>
      <c r="T271" s="24">
        <f t="shared" si="60"/>
        <v>80.001421683517208</v>
      </c>
      <c r="U271" s="24">
        <f t="shared" si="60"/>
        <v>78.591063048542125</v>
      </c>
      <c r="V271" s="24">
        <f t="shared" si="60"/>
        <v>75.782364612194783</v>
      </c>
      <c r="W271" s="24">
        <f t="shared" si="60"/>
        <v>71.640435861117638</v>
      </c>
      <c r="X271" s="24">
        <f t="shared" si="60"/>
        <v>66.177535850074648</v>
      </c>
      <c r="Y271" s="24">
        <f t="shared" si="60"/>
        <v>59.556891200989355</v>
      </c>
      <c r="Z271" s="24">
        <f t="shared" si="60"/>
        <v>51.897408096034738</v>
      </c>
      <c r="AA271" s="24">
        <f t="shared" si="60"/>
        <v>43.275604362329581</v>
      </c>
      <c r="AB271" s="24">
        <f t="shared" si="60"/>
        <v>33.788884813534601</v>
      </c>
      <c r="AC271" s="24">
        <f t="shared" si="60"/>
        <v>23.843037599893933</v>
      </c>
      <c r="AD271" s="24">
        <f t="shared" si="60"/>
        <v>13.539728414678429</v>
      </c>
      <c r="AE271" s="24">
        <f t="shared" si="60"/>
        <v>3.5882199179166916</v>
      </c>
      <c r="AF271" s="28"/>
      <c r="AG271" s="11"/>
    </row>
    <row r="272" spans="1:33">
      <c r="A272" s="20"/>
      <c r="B272" s="24" t="s">
        <v>1041</v>
      </c>
      <c r="C272" s="11"/>
      <c r="D272" t="s">
        <v>955</v>
      </c>
      <c r="G272" s="27"/>
      <c r="H272" s="24" t="s">
        <v>900</v>
      </c>
      <c r="K272" t="s">
        <v>853</v>
      </c>
      <c r="M272" s="28"/>
      <c r="O272" s="28"/>
      <c r="P272" s="28"/>
      <c r="Q272" s="11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11"/>
    </row>
    <row r="273" spans="1:33">
      <c r="A273" t="s">
        <v>834</v>
      </c>
      <c r="B273" s="5"/>
      <c r="C273" s="11"/>
      <c r="D273" s="5" t="s">
        <v>952</v>
      </c>
      <c r="F273" t="s">
        <v>953</v>
      </c>
      <c r="G273" s="97">
        <f>SUM(H273:AE273)/48</f>
        <v>1.31444011085065</v>
      </c>
      <c r="H273" s="97">
        <f>H269*$H$263*$F$16</f>
        <v>0.18813242286527221</v>
      </c>
      <c r="I273" s="97">
        <f t="shared" ref="I273:AE273" si="61">I269*$H$263*$F$16</f>
        <v>0.70989570591039908</v>
      </c>
      <c r="J273" s="97">
        <f t="shared" si="61"/>
        <v>1.2501041002916518</v>
      </c>
      <c r="K273" s="97">
        <f t="shared" si="61"/>
        <v>1.7715705590243183</v>
      </c>
      <c r="L273" s="97">
        <f t="shared" si="61"/>
        <v>2.268964691654396</v>
      </c>
      <c r="M273" s="97">
        <f t="shared" si="61"/>
        <v>2.7210107933416507</v>
      </c>
      <c r="N273" s="97">
        <f t="shared" si="61"/>
        <v>3.12260187398739</v>
      </c>
      <c r="O273" s="97">
        <f t="shared" si="61"/>
        <v>3.4697260601452946</v>
      </c>
      <c r="P273" s="97">
        <f t="shared" si="61"/>
        <v>3.7561490326661509</v>
      </c>
      <c r="Q273" s="97">
        <f t="shared" si="61"/>
        <v>3.9733127263920065</v>
      </c>
      <c r="R273" s="97">
        <f t="shared" si="61"/>
        <v>4.1205743920690416</v>
      </c>
      <c r="S273" s="97">
        <f t="shared" si="61"/>
        <v>4.1945203020680228</v>
      </c>
      <c r="T273" s="97">
        <f t="shared" si="61"/>
        <v>4.1945203020680228</v>
      </c>
      <c r="U273" s="97">
        <f t="shared" si="61"/>
        <v>4.1205743920690416</v>
      </c>
      <c r="V273" s="97">
        <f t="shared" si="61"/>
        <v>3.9733127263920065</v>
      </c>
      <c r="W273" s="97">
        <f t="shared" si="61"/>
        <v>3.7561490326661509</v>
      </c>
      <c r="X273" s="97">
        <f t="shared" si="61"/>
        <v>3.4697260601452946</v>
      </c>
      <c r="Y273" s="97">
        <f t="shared" si="61"/>
        <v>3.12260187398739</v>
      </c>
      <c r="Z273" s="97">
        <f t="shared" si="61"/>
        <v>2.7210107933416507</v>
      </c>
      <c r="AA273" s="97">
        <f t="shared" si="61"/>
        <v>2.268964691654396</v>
      </c>
      <c r="AB273" s="97">
        <f t="shared" si="61"/>
        <v>1.7715705590243183</v>
      </c>
      <c r="AC273" s="97">
        <f t="shared" si="61"/>
        <v>1.2501041002916518</v>
      </c>
      <c r="AD273" s="97">
        <f t="shared" si="61"/>
        <v>0.70989570591039908</v>
      </c>
      <c r="AE273" s="97">
        <f t="shared" si="61"/>
        <v>0.18813242286527221</v>
      </c>
      <c r="AF273" s="28"/>
      <c r="AG273" s="11"/>
    </row>
    <row r="274" spans="1:33">
      <c r="A274" t="s">
        <v>909</v>
      </c>
      <c r="B274" s="5"/>
      <c r="C274" s="11"/>
      <c r="D274" s="5" t="s">
        <v>954</v>
      </c>
      <c r="G274" s="97">
        <f>SUM(H274:AE274)/48</f>
        <v>0.13144401108506501</v>
      </c>
      <c r="H274" s="97">
        <f t="shared" ref="H274:AE274" si="62">H273*$P$20</f>
        <v>1.8813242286527223E-2</v>
      </c>
      <c r="I274" s="97">
        <f t="shared" si="62"/>
        <v>7.0989570591039913E-2</v>
      </c>
      <c r="J274" s="97">
        <f t="shared" si="62"/>
        <v>0.12501041002916519</v>
      </c>
      <c r="K274" s="97">
        <f t="shared" si="62"/>
        <v>0.17715705590243183</v>
      </c>
      <c r="L274" s="97">
        <f t="shared" si="62"/>
        <v>0.2268964691654396</v>
      </c>
      <c r="M274" s="97">
        <f t="shared" si="62"/>
        <v>0.27210107933416511</v>
      </c>
      <c r="N274" s="97">
        <f t="shared" si="62"/>
        <v>0.31226018739873901</v>
      </c>
      <c r="O274" s="97">
        <f t="shared" si="62"/>
        <v>0.34697260601452951</v>
      </c>
      <c r="P274" s="97">
        <f t="shared" si="62"/>
        <v>0.37561490326661512</v>
      </c>
      <c r="Q274" s="97">
        <f t="shared" si="62"/>
        <v>0.39733127263920065</v>
      </c>
      <c r="R274" s="97">
        <f t="shared" si="62"/>
        <v>0.41205743920690419</v>
      </c>
      <c r="S274" s="97">
        <f t="shared" si="62"/>
        <v>0.41945203020680233</v>
      </c>
      <c r="T274" s="97">
        <f t="shared" si="62"/>
        <v>0.41945203020680233</v>
      </c>
      <c r="U274" s="97">
        <f t="shared" si="62"/>
        <v>0.41205743920690419</v>
      </c>
      <c r="V274" s="97">
        <f t="shared" si="62"/>
        <v>0.39733127263920065</v>
      </c>
      <c r="W274" s="97">
        <f t="shared" si="62"/>
        <v>0.37561490326661512</v>
      </c>
      <c r="X274" s="97">
        <f t="shared" si="62"/>
        <v>0.34697260601452951</v>
      </c>
      <c r="Y274" s="97">
        <f t="shared" si="62"/>
        <v>0.31226018739873901</v>
      </c>
      <c r="Z274" s="97">
        <f t="shared" si="62"/>
        <v>0.27210107933416511</v>
      </c>
      <c r="AA274" s="97">
        <f t="shared" si="62"/>
        <v>0.2268964691654396</v>
      </c>
      <c r="AB274" s="97">
        <f t="shared" si="62"/>
        <v>0.17715705590243183</v>
      </c>
      <c r="AC274" s="97">
        <f t="shared" si="62"/>
        <v>0.12501041002916519</v>
      </c>
      <c r="AD274" s="97">
        <f t="shared" si="62"/>
        <v>7.0989570591039913E-2</v>
      </c>
      <c r="AE274" s="97">
        <f t="shared" si="62"/>
        <v>1.8813242286527223E-2</v>
      </c>
      <c r="AF274" s="28"/>
      <c r="AG274" s="11"/>
    </row>
    <row r="275" spans="1:33">
      <c r="A275" s="20" t="s">
        <v>835</v>
      </c>
      <c r="B275" s="5"/>
      <c r="C275" s="11"/>
      <c r="G275" s="19">
        <f>SUM(H275:AE275)/48</f>
        <v>0.12477134161498347</v>
      </c>
      <c r="H275" s="24">
        <f>H274*(1-($F$16+$F$13)*$H$263)</f>
        <v>1.7858200315407552E-2</v>
      </c>
      <c r="I275" s="24">
        <f t="shared" ref="I275:AE275" si="63">I274*(1-($F$16+$F$13)*$H$263)</f>
        <v>6.7385831352814188E-2</v>
      </c>
      <c r="J275" s="24">
        <f t="shared" si="63"/>
        <v>0.11866433811947467</v>
      </c>
      <c r="K275" s="24">
        <f t="shared" si="63"/>
        <v>0.16816379353489297</v>
      </c>
      <c r="L275" s="24">
        <f t="shared" si="63"/>
        <v>0.21537821793305964</v>
      </c>
      <c r="M275" s="24">
        <f t="shared" si="63"/>
        <v>0.25828804555756879</v>
      </c>
      <c r="N275" s="24">
        <f t="shared" si="63"/>
        <v>0.29640850270061253</v>
      </c>
      <c r="O275" s="24">
        <f t="shared" si="63"/>
        <v>0.32935876803137909</v>
      </c>
      <c r="P275" s="24">
        <f t="shared" si="63"/>
        <v>0.35654705774938766</v>
      </c>
      <c r="Q275" s="24">
        <f t="shared" si="63"/>
        <v>0.37716100979829853</v>
      </c>
      <c r="R275" s="24">
        <f t="shared" si="63"/>
        <v>0.39113961212738446</v>
      </c>
      <c r="S275" s="24">
        <f t="shared" si="63"/>
        <v>0.39815882153932397</v>
      </c>
      <c r="T275" s="24">
        <f t="shared" si="63"/>
        <v>0.39815882153932397</v>
      </c>
      <c r="U275" s="24">
        <f t="shared" si="63"/>
        <v>0.39113961212738446</v>
      </c>
      <c r="V275" s="24">
        <f t="shared" si="63"/>
        <v>0.37716100979829853</v>
      </c>
      <c r="W275" s="24">
        <f t="shared" si="63"/>
        <v>0.35654705774938766</v>
      </c>
      <c r="X275" s="24">
        <f t="shared" si="63"/>
        <v>0.32935876803137909</v>
      </c>
      <c r="Y275" s="24">
        <f t="shared" si="63"/>
        <v>0.29640850270061253</v>
      </c>
      <c r="Z275" s="24">
        <f t="shared" si="63"/>
        <v>0.25828804555756879</v>
      </c>
      <c r="AA275" s="24">
        <f t="shared" si="63"/>
        <v>0.21537821793305964</v>
      </c>
      <c r="AB275" s="24">
        <f t="shared" si="63"/>
        <v>0.16816379353489297</v>
      </c>
      <c r="AC275" s="24">
        <f t="shared" si="63"/>
        <v>0.11866433811947467</v>
      </c>
      <c r="AD275" s="24">
        <f t="shared" si="63"/>
        <v>6.7385831352814188E-2</v>
      </c>
      <c r="AE275" s="24">
        <f t="shared" si="63"/>
        <v>1.7858200315407552E-2</v>
      </c>
      <c r="AF275" s="28"/>
      <c r="AG275" s="11"/>
    </row>
    <row r="276" spans="1:33">
      <c r="A276" s="20"/>
      <c r="B276" s="24" t="s">
        <v>956</v>
      </c>
      <c r="C276" s="11"/>
      <c r="D276" t="s">
        <v>955</v>
      </c>
      <c r="G276" s="27"/>
      <c r="H276" s="24" t="s">
        <v>900</v>
      </c>
      <c r="K276" t="s">
        <v>853</v>
      </c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8"/>
      <c r="AG276" s="11"/>
    </row>
    <row r="277" spans="1:33">
      <c r="A277" s="100" t="s">
        <v>836</v>
      </c>
      <c r="B277" s="5"/>
      <c r="C277" s="11"/>
      <c r="G277" s="19">
        <f>SUM(H277:AE277)/48</f>
        <v>6.2097409388335448E-4</v>
      </c>
      <c r="H277" s="2">
        <f>H275^2/H271</f>
        <v>8.8878420442630932E-5</v>
      </c>
      <c r="I277" s="2">
        <f t="shared" ref="I277:AE277" si="64">I275^2/I271</f>
        <v>3.3537233008212902E-4</v>
      </c>
      <c r="J277" s="2">
        <f t="shared" si="64"/>
        <v>5.9058016757880093E-4</v>
      </c>
      <c r="K277" s="2">
        <f t="shared" si="64"/>
        <v>8.3693385005469449E-4</v>
      </c>
      <c r="L277" s="2">
        <f t="shared" si="64"/>
        <v>1.0719151689167401E-3</v>
      </c>
      <c r="M277" s="2">
        <f t="shared" si="64"/>
        <v>1.2854729537648329E-3</v>
      </c>
      <c r="N277" s="2">
        <f t="shared" si="64"/>
        <v>1.4751945358719384E-3</v>
      </c>
      <c r="O277" s="2">
        <f t="shared" si="64"/>
        <v>1.6391846067660045E-3</v>
      </c>
      <c r="P277" s="2">
        <f t="shared" si="64"/>
        <v>1.7744979195295748E-3</v>
      </c>
      <c r="Q277" s="2">
        <f t="shared" si="64"/>
        <v>1.8770914320240348E-3</v>
      </c>
      <c r="R277" s="2">
        <f t="shared" si="64"/>
        <v>1.9466614935678588E-3</v>
      </c>
      <c r="S277" s="2">
        <f t="shared" si="64"/>
        <v>1.9815953746012672E-3</v>
      </c>
      <c r="T277" s="2">
        <f t="shared" si="64"/>
        <v>1.9815953746012672E-3</v>
      </c>
      <c r="U277" s="2">
        <f t="shared" si="64"/>
        <v>1.9466614935678588E-3</v>
      </c>
      <c r="V277" s="2">
        <f t="shared" si="64"/>
        <v>1.8770914320240348E-3</v>
      </c>
      <c r="W277" s="2">
        <f t="shared" si="64"/>
        <v>1.7744979195295748E-3</v>
      </c>
      <c r="X277" s="2">
        <f t="shared" si="64"/>
        <v>1.6391846067660045E-3</v>
      </c>
      <c r="Y277" s="2">
        <f t="shared" si="64"/>
        <v>1.4751945358719384E-3</v>
      </c>
      <c r="Z277" s="2">
        <f t="shared" si="64"/>
        <v>1.2854729537648329E-3</v>
      </c>
      <c r="AA277" s="2">
        <f t="shared" si="64"/>
        <v>1.0719151689167401E-3</v>
      </c>
      <c r="AB277" s="2">
        <f t="shared" si="64"/>
        <v>8.3693385005469449E-4</v>
      </c>
      <c r="AC277" s="2">
        <f t="shared" si="64"/>
        <v>5.9058016757880093E-4</v>
      </c>
      <c r="AD277" s="2">
        <f t="shared" si="64"/>
        <v>3.3537233008212902E-4</v>
      </c>
      <c r="AE277" s="2">
        <f t="shared" si="64"/>
        <v>8.8878420442630932E-5</v>
      </c>
      <c r="AF277" s="28"/>
      <c r="AG277" s="11"/>
    </row>
    <row r="278" spans="1:33">
      <c r="A278" s="100"/>
      <c r="B278" s="24" t="s">
        <v>957</v>
      </c>
      <c r="C278" s="11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8"/>
      <c r="AG278" s="11"/>
    </row>
    <row r="279" spans="1:33">
      <c r="A279" s="20" t="s">
        <v>837</v>
      </c>
      <c r="B279" s="11"/>
      <c r="C279" s="11"/>
      <c r="D279" s="11"/>
      <c r="E279" s="27"/>
      <c r="F279" s="6"/>
      <c r="G279" s="19">
        <f>SUM(H279:AE279)/24</f>
        <v>329.9476999139369</v>
      </c>
      <c r="H279" s="24">
        <f>$P$24*(1-$H$263*(1-$F$14))</f>
        <v>329.94769991393684</v>
      </c>
      <c r="I279" s="24">
        <f t="shared" ref="I279:AE279" si="65">$P$24*(1-$H$263*(1-$F$14))</f>
        <v>329.94769991393684</v>
      </c>
      <c r="J279" s="24">
        <f t="shared" si="65"/>
        <v>329.94769991393684</v>
      </c>
      <c r="K279" s="24">
        <f t="shared" si="65"/>
        <v>329.94769991393684</v>
      </c>
      <c r="L279" s="24">
        <f t="shared" si="65"/>
        <v>329.94769991393684</v>
      </c>
      <c r="M279" s="24">
        <f t="shared" si="65"/>
        <v>329.94769991393684</v>
      </c>
      <c r="N279" s="24">
        <f t="shared" si="65"/>
        <v>329.94769991393684</v>
      </c>
      <c r="O279" s="24">
        <f t="shared" si="65"/>
        <v>329.94769991393684</v>
      </c>
      <c r="P279" s="24">
        <f t="shared" si="65"/>
        <v>329.94769991393684</v>
      </c>
      <c r="Q279" s="24">
        <f t="shared" si="65"/>
        <v>329.94769991393684</v>
      </c>
      <c r="R279" s="24">
        <f t="shared" si="65"/>
        <v>329.94769991393684</v>
      </c>
      <c r="S279" s="24">
        <f t="shared" si="65"/>
        <v>329.94769991393684</v>
      </c>
      <c r="T279" s="24">
        <f t="shared" si="65"/>
        <v>329.94769991393684</v>
      </c>
      <c r="U279" s="24">
        <f t="shared" si="65"/>
        <v>329.94769991393684</v>
      </c>
      <c r="V279" s="24">
        <f t="shared" si="65"/>
        <v>329.94769991393684</v>
      </c>
      <c r="W279" s="24">
        <f t="shared" si="65"/>
        <v>329.94769991393684</v>
      </c>
      <c r="X279" s="24">
        <f t="shared" si="65"/>
        <v>329.94769991393684</v>
      </c>
      <c r="Y279" s="24">
        <f t="shared" si="65"/>
        <v>329.94769991393684</v>
      </c>
      <c r="Z279" s="24">
        <f t="shared" si="65"/>
        <v>329.94769991393684</v>
      </c>
      <c r="AA279" s="24">
        <f t="shared" si="65"/>
        <v>329.94769991393684</v>
      </c>
      <c r="AB279" s="24">
        <f t="shared" si="65"/>
        <v>329.94769991393684</v>
      </c>
      <c r="AC279" s="24">
        <f t="shared" si="65"/>
        <v>329.94769991393684</v>
      </c>
      <c r="AD279" s="24">
        <f t="shared" si="65"/>
        <v>329.94769991393684</v>
      </c>
      <c r="AE279" s="24">
        <f t="shared" si="65"/>
        <v>329.94769991393684</v>
      </c>
      <c r="AF279" s="28"/>
      <c r="AG279" s="11"/>
    </row>
    <row r="280" spans="1:33">
      <c r="A280" s="20"/>
      <c r="B280" s="5" t="s">
        <v>958</v>
      </c>
      <c r="C280" s="11"/>
      <c r="D280" t="s">
        <v>976</v>
      </c>
      <c r="E280" s="2"/>
      <c r="G280" t="s">
        <v>959</v>
      </c>
      <c r="I280" s="11"/>
      <c r="J280" s="28"/>
      <c r="K280" s="2" t="s">
        <v>844</v>
      </c>
      <c r="L280" s="12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11"/>
    </row>
    <row r="281" spans="1:33">
      <c r="A281" s="12" t="s">
        <v>573</v>
      </c>
      <c r="B281" t="s">
        <v>839</v>
      </c>
      <c r="E281" s="12"/>
      <c r="F281" s="6"/>
      <c r="G281" s="32"/>
      <c r="H281" s="3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3">
      <c r="A282" s="11"/>
      <c r="B282" s="14" t="s">
        <v>870</v>
      </c>
      <c r="E282" s="12"/>
      <c r="F282" s="6"/>
      <c r="G282" s="32"/>
      <c r="H282" s="3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3">
      <c r="A283" s="11"/>
      <c r="B283" s="14" t="s">
        <v>845</v>
      </c>
      <c r="E283" s="12"/>
      <c r="F283" s="6"/>
      <c r="G283" s="32"/>
      <c r="H283" s="3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3">
      <c r="A284" s="11"/>
      <c r="B284" s="14" t="s">
        <v>842</v>
      </c>
      <c r="E284" s="12"/>
      <c r="F284" s="6"/>
      <c r="G284" s="32"/>
      <c r="H284" s="3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3">
      <c r="A285" s="20" t="s">
        <v>914</v>
      </c>
      <c r="B285" s="11"/>
      <c r="C285" s="11"/>
      <c r="D285" s="11"/>
      <c r="E285" s="27"/>
      <c r="F285" s="6"/>
      <c r="G285" s="19">
        <f>SUM(H285:AE285)/24</f>
        <v>12.551783676120003</v>
      </c>
      <c r="H285" s="24">
        <f t="shared" ref="H285:AE285" si="66">$M$9*($F$9+273)^4*$F$11*$H$18</f>
        <v>12.551783676119999</v>
      </c>
      <c r="I285" s="24">
        <f t="shared" si="66"/>
        <v>12.551783676119999</v>
      </c>
      <c r="J285" s="24">
        <f t="shared" si="66"/>
        <v>12.551783676119999</v>
      </c>
      <c r="K285" s="24">
        <f t="shared" si="66"/>
        <v>12.551783676119999</v>
      </c>
      <c r="L285" s="24">
        <f t="shared" si="66"/>
        <v>12.551783676119999</v>
      </c>
      <c r="M285" s="24">
        <f t="shared" si="66"/>
        <v>12.551783676119999</v>
      </c>
      <c r="N285" s="24">
        <f t="shared" si="66"/>
        <v>12.551783676119999</v>
      </c>
      <c r="O285" s="24">
        <f t="shared" si="66"/>
        <v>12.551783676119999</v>
      </c>
      <c r="P285" s="24">
        <f t="shared" si="66"/>
        <v>12.551783676119999</v>
      </c>
      <c r="Q285" s="24">
        <f t="shared" si="66"/>
        <v>12.551783676119999</v>
      </c>
      <c r="R285" s="24">
        <f t="shared" si="66"/>
        <v>12.551783676119999</v>
      </c>
      <c r="S285" s="24">
        <f t="shared" si="66"/>
        <v>12.551783676119999</v>
      </c>
      <c r="T285" s="24">
        <f t="shared" si="66"/>
        <v>12.551783676119999</v>
      </c>
      <c r="U285" s="24">
        <f t="shared" si="66"/>
        <v>12.551783676119999</v>
      </c>
      <c r="V285" s="24">
        <f t="shared" si="66"/>
        <v>12.551783676119999</v>
      </c>
      <c r="W285" s="24">
        <f t="shared" si="66"/>
        <v>12.551783676119999</v>
      </c>
      <c r="X285" s="24">
        <f t="shared" si="66"/>
        <v>12.551783676119999</v>
      </c>
      <c r="Y285" s="24">
        <f t="shared" si="66"/>
        <v>12.551783676119999</v>
      </c>
      <c r="Z285" s="24">
        <f t="shared" si="66"/>
        <v>12.551783676119999</v>
      </c>
      <c r="AA285" s="24">
        <f t="shared" si="66"/>
        <v>12.551783676119999</v>
      </c>
      <c r="AB285" s="24">
        <f t="shared" si="66"/>
        <v>12.551783676119999</v>
      </c>
      <c r="AC285" s="24">
        <f t="shared" si="66"/>
        <v>12.551783676119999</v>
      </c>
      <c r="AD285" s="24">
        <f t="shared" si="66"/>
        <v>12.551783676119999</v>
      </c>
      <c r="AE285" s="24">
        <f t="shared" si="66"/>
        <v>12.551783676119999</v>
      </c>
      <c r="AF285" s="28"/>
      <c r="AG285" s="11"/>
    </row>
    <row r="286" spans="1:33">
      <c r="A286" s="20"/>
      <c r="B286" s="5" t="s">
        <v>272</v>
      </c>
      <c r="C286" s="11"/>
      <c r="D286" t="s">
        <v>743</v>
      </c>
      <c r="E286" s="27"/>
      <c r="F286" s="6"/>
      <c r="G286" s="28"/>
      <c r="H286" t="s">
        <v>717</v>
      </c>
      <c r="I286" s="29"/>
      <c r="J286" s="11"/>
      <c r="K286" s="2" t="s">
        <v>273</v>
      </c>
      <c r="L286" s="11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11"/>
    </row>
    <row r="287" spans="1:33">
      <c r="A287" s="20"/>
      <c r="B287" s="27" t="s">
        <v>925</v>
      </c>
      <c r="C287" s="11" t="s">
        <v>266</v>
      </c>
      <c r="E287" s="27"/>
      <c r="F287" s="6"/>
      <c r="G287" s="28"/>
      <c r="I287" s="29"/>
      <c r="J287" s="11"/>
      <c r="K287" s="2"/>
      <c r="L287" s="11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11"/>
    </row>
    <row r="288" spans="1:33">
      <c r="A288" s="20"/>
      <c r="B288" s="14"/>
      <c r="C288" t="s">
        <v>274</v>
      </c>
      <c r="E288" s="27"/>
      <c r="F288" s="6"/>
      <c r="G288" s="28"/>
      <c r="I288" s="29"/>
      <c r="J288" s="11"/>
      <c r="K288" s="2"/>
      <c r="L288" s="11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11"/>
    </row>
    <row r="289" spans="1:33">
      <c r="A289" s="20"/>
      <c r="B289" s="16" t="s">
        <v>332</v>
      </c>
      <c r="C289" s="11"/>
      <c r="D289" s="11"/>
      <c r="E289" s="27"/>
      <c r="F289" s="6"/>
      <c r="G289" s="32">
        <f>G264+G271+G275+G277+G285+G279</f>
        <v>383.54264346206116</v>
      </c>
      <c r="H289" s="33"/>
      <c r="I289" s="29"/>
      <c r="J289" s="28"/>
      <c r="K289" s="11"/>
      <c r="L289" s="11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11"/>
    </row>
    <row r="290" spans="1:33">
      <c r="A290" s="20"/>
      <c r="B290" s="16" t="s">
        <v>721</v>
      </c>
      <c r="G290" s="32">
        <f>G259-G289</f>
        <v>10.09678635224094</v>
      </c>
      <c r="H290" s="33"/>
      <c r="I290" s="8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3">
      <c r="A291" s="39" t="s">
        <v>507</v>
      </c>
      <c r="B291" s="16"/>
      <c r="G291" s="32"/>
      <c r="H291" s="3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3">
      <c r="A292" s="3" t="s">
        <v>771</v>
      </c>
      <c r="G292" t="s">
        <v>535</v>
      </c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3">
      <c r="A293" s="20" t="s">
        <v>873</v>
      </c>
      <c r="B293" s="11"/>
      <c r="C293" s="11"/>
      <c r="D293" s="11"/>
      <c r="E293" s="14" t="s">
        <v>563</v>
      </c>
      <c r="F293" s="31">
        <f>$F$15</f>
        <v>0.7</v>
      </c>
      <c r="G293" s="19">
        <f>SUM(H293:AE293)/48</f>
        <v>133.95512485675346</v>
      </c>
      <c r="H293" s="2">
        <f>H$64*H$27*$F$15</f>
        <v>0</v>
      </c>
      <c r="I293" s="2">
        <f t="shared" ref="I293:AE293" si="67">I$64*I$27*$F$15</f>
        <v>0</v>
      </c>
      <c r="J293" s="2">
        <f t="shared" si="67"/>
        <v>0</v>
      </c>
      <c r="K293" s="2">
        <f t="shared" si="67"/>
        <v>0</v>
      </c>
      <c r="L293" s="2">
        <f t="shared" si="67"/>
        <v>0</v>
      </c>
      <c r="M293" s="2">
        <f t="shared" si="67"/>
        <v>0</v>
      </c>
      <c r="N293" s="2">
        <f t="shared" si="67"/>
        <v>0</v>
      </c>
      <c r="O293" s="2">
        <f t="shared" si="67"/>
        <v>0</v>
      </c>
      <c r="P293" s="2">
        <f t="shared" si="67"/>
        <v>552.27023234662875</v>
      </c>
      <c r="Q293" s="2">
        <f t="shared" si="67"/>
        <v>582.92122669687183</v>
      </c>
      <c r="R293" s="2">
        <f t="shared" si="67"/>
        <v>603.7528592428398</v>
      </c>
      <c r="S293" s="2">
        <f t="shared" si="67"/>
        <v>614.18744232808569</v>
      </c>
      <c r="T293" s="2">
        <f t="shared" si="67"/>
        <v>614.18744232808569</v>
      </c>
      <c r="U293" s="2">
        <f t="shared" si="67"/>
        <v>603.7528592428398</v>
      </c>
      <c r="V293" s="2">
        <f t="shared" si="67"/>
        <v>582.92122669687183</v>
      </c>
      <c r="W293" s="2">
        <f t="shared" si="67"/>
        <v>552.27023234662875</v>
      </c>
      <c r="X293" s="2">
        <f t="shared" si="67"/>
        <v>512.02740658883533</v>
      </c>
      <c r="Y293" s="2">
        <f t="shared" si="67"/>
        <v>463.0376470623201</v>
      </c>
      <c r="Z293" s="2">
        <f t="shared" si="67"/>
        <v>406.21888198654005</v>
      </c>
      <c r="AA293" s="2">
        <f t="shared" si="67"/>
        <v>342.29853625761945</v>
      </c>
      <c r="AB293" s="2">
        <f t="shared" si="67"/>
        <v>0</v>
      </c>
      <c r="AC293" s="2">
        <f t="shared" si="67"/>
        <v>0</v>
      </c>
      <c r="AD293" s="2">
        <f t="shared" si="67"/>
        <v>0</v>
      </c>
      <c r="AE293" s="2">
        <f t="shared" si="67"/>
        <v>0</v>
      </c>
      <c r="AF293" s="2"/>
    </row>
    <row r="294" spans="1:33">
      <c r="A294" s="5"/>
      <c r="B294" s="5" t="s">
        <v>942</v>
      </c>
      <c r="C294" s="11"/>
      <c r="D294" t="s">
        <v>974</v>
      </c>
      <c r="E294" s="12"/>
      <c r="F294" s="18"/>
      <c r="G294" s="19"/>
      <c r="H294" s="2" t="s">
        <v>860</v>
      </c>
      <c r="I294" s="2"/>
      <c r="J294" s="2" t="s">
        <v>861</v>
      </c>
      <c r="K294" s="26"/>
      <c r="L294" s="2"/>
      <c r="M294" s="2"/>
      <c r="N294" s="2"/>
      <c r="O294" s="26"/>
      <c r="P294" s="2"/>
      <c r="Q294" s="2"/>
      <c r="R294" s="26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3">
      <c r="A295" s="20" t="s">
        <v>874</v>
      </c>
      <c r="G295" s="19">
        <f>SUM(H295:AE295)/48</f>
        <v>8.9386930252149117</v>
      </c>
      <c r="H295" s="2">
        <f>H$64*$P$20*H$28^2</f>
        <v>5.7959142451783476</v>
      </c>
      <c r="I295" s="2">
        <f t="shared" ref="I295:AE295" si="68">I$64*$P$20*I$28^2</f>
        <v>17.204062231293001</v>
      </c>
      <c r="J295" s="2">
        <f t="shared" si="68"/>
        <v>28.328172087777229</v>
      </c>
      <c r="K295" s="2">
        <f t="shared" si="68"/>
        <v>38.939263549614608</v>
      </c>
      <c r="L295" s="2">
        <f t="shared" si="68"/>
        <v>48.899790893945635</v>
      </c>
      <c r="M295" s="2">
        <f t="shared" si="68"/>
        <v>58.03126885522002</v>
      </c>
      <c r="N295" s="2">
        <f t="shared" si="68"/>
        <v>66.148235294617166</v>
      </c>
      <c r="O295" s="2">
        <f t="shared" si="68"/>
        <v>73.146772369833613</v>
      </c>
      <c r="P295" s="2">
        <f t="shared" si="68"/>
        <v>0.19723936869522496</v>
      </c>
      <c r="Q295" s="2">
        <f t="shared" si="68"/>
        <v>0.20818615239174029</v>
      </c>
      <c r="R295" s="2">
        <f t="shared" si="68"/>
        <v>0.21562602115815746</v>
      </c>
      <c r="S295" s="2">
        <f t="shared" si="68"/>
        <v>0.21935265797431672</v>
      </c>
      <c r="T295" s="2">
        <f t="shared" si="68"/>
        <v>0.21935265797431672</v>
      </c>
      <c r="U295" s="2">
        <f t="shared" si="68"/>
        <v>0.21562602115815746</v>
      </c>
      <c r="V295" s="2">
        <f t="shared" si="68"/>
        <v>0.20818615239174029</v>
      </c>
      <c r="W295" s="2">
        <f t="shared" si="68"/>
        <v>0.19723936869522496</v>
      </c>
      <c r="X295" s="2">
        <f t="shared" si="68"/>
        <v>0.18286693092458436</v>
      </c>
      <c r="Y295" s="2">
        <f t="shared" si="68"/>
        <v>0.16537058823654321</v>
      </c>
      <c r="Z295" s="2">
        <f t="shared" si="68"/>
        <v>0.1450781721380503</v>
      </c>
      <c r="AA295" s="2">
        <f t="shared" si="68"/>
        <v>0.1222494772348643</v>
      </c>
      <c r="AB295" s="2">
        <f t="shared" si="68"/>
        <v>38.939263549614608</v>
      </c>
      <c r="AC295" s="2">
        <f t="shared" si="68"/>
        <v>28.328172087777229</v>
      </c>
      <c r="AD295" s="2">
        <f t="shared" si="68"/>
        <v>17.204062231293001</v>
      </c>
      <c r="AE295" s="2">
        <f t="shared" si="68"/>
        <v>5.7959142451783476</v>
      </c>
      <c r="AF295" s="2"/>
    </row>
    <row r="296" spans="1:33">
      <c r="A296" s="16"/>
      <c r="B296" s="5" t="s">
        <v>946</v>
      </c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3">
      <c r="A297" s="20" t="s">
        <v>875</v>
      </c>
      <c r="E297" s="12"/>
      <c r="F297" s="6"/>
      <c r="G297" s="19">
        <f>(SUM(H297:AE297)+24*$P$24)/48</f>
        <v>274.20909862274999</v>
      </c>
      <c r="H297" s="2">
        <f>$P$24*(1-H$27)</f>
        <v>365.61213149700001</v>
      </c>
      <c r="I297" s="2">
        <f t="shared" ref="I297:AE297" si="69">$P$24*(1-I$27)</f>
        <v>365.61213149700001</v>
      </c>
      <c r="J297" s="2">
        <f t="shared" si="69"/>
        <v>365.61213149700001</v>
      </c>
      <c r="K297" s="2">
        <f t="shared" si="69"/>
        <v>365.61213149700001</v>
      </c>
      <c r="L297" s="2">
        <f t="shared" si="69"/>
        <v>365.61213149700001</v>
      </c>
      <c r="M297" s="2">
        <f t="shared" si="69"/>
        <v>365.61213149700001</v>
      </c>
      <c r="N297" s="2">
        <f t="shared" si="69"/>
        <v>365.61213149700001</v>
      </c>
      <c r="O297" s="2">
        <f t="shared" si="69"/>
        <v>365.61213149700001</v>
      </c>
      <c r="P297" s="2">
        <f t="shared" si="69"/>
        <v>0</v>
      </c>
      <c r="Q297" s="2">
        <f t="shared" si="69"/>
        <v>0</v>
      </c>
      <c r="R297" s="2">
        <f t="shared" si="69"/>
        <v>0</v>
      </c>
      <c r="S297" s="2">
        <f t="shared" si="69"/>
        <v>0</v>
      </c>
      <c r="T297" s="2">
        <f t="shared" si="69"/>
        <v>0</v>
      </c>
      <c r="U297" s="2">
        <f t="shared" si="69"/>
        <v>0</v>
      </c>
      <c r="V297" s="2">
        <f t="shared" si="69"/>
        <v>0</v>
      </c>
      <c r="W297" s="2">
        <f t="shared" si="69"/>
        <v>0</v>
      </c>
      <c r="X297" s="2">
        <f t="shared" si="69"/>
        <v>0</v>
      </c>
      <c r="Y297" s="2">
        <f t="shared" si="69"/>
        <v>0</v>
      </c>
      <c r="Z297" s="2">
        <f t="shared" si="69"/>
        <v>0</v>
      </c>
      <c r="AA297" s="2">
        <f t="shared" si="69"/>
        <v>0</v>
      </c>
      <c r="AB297" s="2">
        <f t="shared" si="69"/>
        <v>365.61213149700001</v>
      </c>
      <c r="AC297" s="2">
        <f t="shared" si="69"/>
        <v>365.61213149700001</v>
      </c>
      <c r="AD297" s="2">
        <f t="shared" si="69"/>
        <v>365.61213149700001</v>
      </c>
      <c r="AE297" s="2">
        <f t="shared" si="69"/>
        <v>365.61213149700001</v>
      </c>
      <c r="AF297" s="2"/>
    </row>
    <row r="298" spans="1:33">
      <c r="A298" s="20"/>
      <c r="C298" s="5" t="s">
        <v>947</v>
      </c>
      <c r="D298" t="s">
        <v>907</v>
      </c>
      <c r="E298" s="12"/>
      <c r="F298" s="6"/>
      <c r="G298" s="19"/>
      <c r="H298" s="2" t="s">
        <v>860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3">
      <c r="A299" s="20" t="s">
        <v>876</v>
      </c>
      <c r="E299" s="12">
        <f>$F$7</f>
        <v>-5</v>
      </c>
      <c r="F299" s="6" t="s">
        <v>558</v>
      </c>
      <c r="G299" s="19">
        <f>SUM(H299:AE299)/48</f>
        <v>73.51128940800001</v>
      </c>
      <c r="H299" s="2">
        <f t="shared" ref="H299:AE299" si="70">$M$9*($F$7+273)^4*H$27</f>
        <v>0</v>
      </c>
      <c r="I299" s="2">
        <f t="shared" si="70"/>
        <v>0</v>
      </c>
      <c r="J299" s="2">
        <f t="shared" si="70"/>
        <v>0</v>
      </c>
      <c r="K299" s="2">
        <f t="shared" si="70"/>
        <v>0</v>
      </c>
      <c r="L299" s="2">
        <f t="shared" si="70"/>
        <v>0</v>
      </c>
      <c r="M299" s="2">
        <f t="shared" si="70"/>
        <v>0</v>
      </c>
      <c r="N299" s="2">
        <f t="shared" si="70"/>
        <v>0</v>
      </c>
      <c r="O299" s="2">
        <f t="shared" si="70"/>
        <v>0</v>
      </c>
      <c r="P299" s="2">
        <f t="shared" si="70"/>
        <v>294.04515763199998</v>
      </c>
      <c r="Q299" s="2">
        <f t="shared" si="70"/>
        <v>294.04515763199998</v>
      </c>
      <c r="R299" s="2">
        <f t="shared" si="70"/>
        <v>294.04515763199998</v>
      </c>
      <c r="S299" s="2">
        <f t="shared" si="70"/>
        <v>294.04515763199998</v>
      </c>
      <c r="T299" s="2">
        <f t="shared" si="70"/>
        <v>294.04515763199998</v>
      </c>
      <c r="U299" s="2">
        <f t="shared" si="70"/>
        <v>294.04515763199998</v>
      </c>
      <c r="V299" s="2">
        <f t="shared" si="70"/>
        <v>294.04515763199998</v>
      </c>
      <c r="W299" s="2">
        <f t="shared" si="70"/>
        <v>294.04515763199998</v>
      </c>
      <c r="X299" s="2">
        <f t="shared" si="70"/>
        <v>294.04515763199998</v>
      </c>
      <c r="Y299" s="2">
        <f t="shared" si="70"/>
        <v>294.04515763199998</v>
      </c>
      <c r="Z299" s="2">
        <f t="shared" si="70"/>
        <v>294.04515763199998</v>
      </c>
      <c r="AA299" s="2">
        <f t="shared" si="70"/>
        <v>294.04515763199998</v>
      </c>
      <c r="AB299" s="2">
        <f t="shared" si="70"/>
        <v>0</v>
      </c>
      <c r="AC299" s="2">
        <f t="shared" si="70"/>
        <v>0</v>
      </c>
      <c r="AD299" s="2">
        <f t="shared" si="70"/>
        <v>0</v>
      </c>
      <c r="AE299" s="2">
        <f t="shared" si="70"/>
        <v>0</v>
      </c>
      <c r="AF299" s="2"/>
    </row>
    <row r="300" spans="1:33">
      <c r="A300" s="20"/>
      <c r="B300" t="s">
        <v>865</v>
      </c>
      <c r="D300" t="s">
        <v>743</v>
      </c>
      <c r="E300" s="30"/>
      <c r="F300" s="6"/>
      <c r="G300" s="19"/>
      <c r="H300" t="s">
        <v>617</v>
      </c>
      <c r="I300" s="2"/>
      <c r="K300" s="2" t="s">
        <v>860</v>
      </c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3">
      <c r="A301" s="20"/>
      <c r="B301" s="16" t="s">
        <v>724</v>
      </c>
      <c r="E301" s="30"/>
      <c r="F301" s="6"/>
      <c r="G301" s="32">
        <f>G293+G295+G297+G299</f>
        <v>490.61420591271838</v>
      </c>
      <c r="H301" s="3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3">
      <c r="A302" s="39" t="s">
        <v>507</v>
      </c>
      <c r="B302" s="16"/>
      <c r="E302" s="30"/>
      <c r="F302" s="6"/>
      <c r="G302" s="32"/>
      <c r="H302" s="3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3">
      <c r="A303" s="3" t="s">
        <v>320</v>
      </c>
      <c r="E303" s="12"/>
      <c r="F303" s="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3">
      <c r="A304" s="3" t="s">
        <v>877</v>
      </c>
      <c r="G304" s="19">
        <f>SUM(H304:AE304)/48</f>
        <v>15.847659412094414</v>
      </c>
      <c r="H304" s="24">
        <f>H$64*H$262*$F$16</f>
        <v>19.762737803324292</v>
      </c>
      <c r="I304" s="24">
        <f t="shared" ref="I304:AE304" si="71">I$64*I$262*$F$16</f>
        <v>28.825884280254563</v>
      </c>
      <c r="J304" s="24">
        <f t="shared" si="71"/>
        <v>31.470865741037368</v>
      </c>
      <c r="K304" s="24">
        <f t="shared" si="71"/>
        <v>32.778203587011703</v>
      </c>
      <c r="L304" s="24">
        <f t="shared" si="71"/>
        <v>32.449436726750633</v>
      </c>
      <c r="M304" s="24">
        <f t="shared" si="71"/>
        <v>32.925781862517539</v>
      </c>
      <c r="N304" s="24">
        <f t="shared" si="71"/>
        <v>33.395001785888923</v>
      </c>
      <c r="O304" s="24">
        <f t="shared" si="71"/>
        <v>33.628587631478084</v>
      </c>
      <c r="P304" s="24">
        <f t="shared" si="71"/>
        <v>33.569015722085517</v>
      </c>
      <c r="Q304" s="24">
        <f t="shared" si="71"/>
        <v>33.718797682170056</v>
      </c>
      <c r="R304" s="24">
        <f t="shared" si="71"/>
        <v>33.885877792257617</v>
      </c>
      <c r="S304" s="24">
        <f t="shared" si="71"/>
        <v>33.933635275489614</v>
      </c>
      <c r="T304" s="24">
        <f t="shared" si="71"/>
        <v>33.933635275489614</v>
      </c>
      <c r="U304" s="24">
        <f t="shared" si="71"/>
        <v>33.885877792257617</v>
      </c>
      <c r="V304" s="24">
        <f t="shared" si="71"/>
        <v>33.718797682170056</v>
      </c>
      <c r="W304" s="24">
        <f t="shared" si="71"/>
        <v>33.569015722085517</v>
      </c>
      <c r="X304" s="24">
        <f t="shared" si="71"/>
        <v>33.628587631478084</v>
      </c>
      <c r="Y304" s="24">
        <f t="shared" si="71"/>
        <v>33.395001785888923</v>
      </c>
      <c r="Z304" s="24">
        <f t="shared" si="71"/>
        <v>32.925781862517539</v>
      </c>
      <c r="AA304" s="24">
        <f t="shared" si="71"/>
        <v>32.449436726750633</v>
      </c>
      <c r="AB304" s="24">
        <f t="shared" si="71"/>
        <v>32.778203587011703</v>
      </c>
      <c r="AC304" s="24">
        <f t="shared" si="71"/>
        <v>31.470865741037368</v>
      </c>
      <c r="AD304" s="24">
        <f t="shared" si="71"/>
        <v>28.825884280254563</v>
      </c>
      <c r="AE304" s="24">
        <f t="shared" si="71"/>
        <v>19.762737803324292</v>
      </c>
      <c r="AF304" s="2"/>
    </row>
    <row r="305" spans="1:33">
      <c r="B305" s="5" t="s">
        <v>939</v>
      </c>
      <c r="D305" t="s">
        <v>769</v>
      </c>
      <c r="H305" t="s">
        <v>866</v>
      </c>
      <c r="J305" s="2"/>
      <c r="K305" s="2"/>
      <c r="L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3">
      <c r="A306" t="s">
        <v>879</v>
      </c>
      <c r="C306" s="11"/>
      <c r="G306" s="98">
        <f>SUM(H306:AE306)/48</f>
        <v>264.10837057268657</v>
      </c>
      <c r="H306" s="97">
        <f>H$64*(1-($F$16+$F$13)*H$262)</f>
        <v>37.801149892392694</v>
      </c>
      <c r="I306" s="97">
        <f t="shared" ref="I306:AE306" si="72">I$64*(1-($F$16+$F$13)*I$262)</f>
        <v>142.63822034707036</v>
      </c>
      <c r="J306" s="97">
        <f t="shared" si="72"/>
        <v>251.18143782191416</v>
      </c>
      <c r="K306" s="97">
        <f t="shared" si="72"/>
        <v>355.95886783739411</v>
      </c>
      <c r="L306" s="97">
        <f t="shared" si="72"/>
        <v>455.89948347817068</v>
      </c>
      <c r="M306" s="97">
        <f t="shared" si="72"/>
        <v>546.72839105243224</v>
      </c>
      <c r="N306" s="97">
        <f t="shared" si="72"/>
        <v>627.41945112456494</v>
      </c>
      <c r="O306" s="97">
        <f t="shared" si="72"/>
        <v>697.16656431422848</v>
      </c>
      <c r="P306" s="97">
        <f t="shared" si="72"/>
        <v>754.71707874437118</v>
      </c>
      <c r="Q306" s="97">
        <f t="shared" si="72"/>
        <v>798.35143593114628</v>
      </c>
      <c r="R306" s="97">
        <f t="shared" si="72"/>
        <v>827.94048928452548</v>
      </c>
      <c r="S306" s="97">
        <f t="shared" si="72"/>
        <v>842.79832391626587</v>
      </c>
      <c r="T306" s="97">
        <f t="shared" si="72"/>
        <v>842.79832391626587</v>
      </c>
      <c r="U306" s="97">
        <f t="shared" si="72"/>
        <v>827.94048928452548</v>
      </c>
      <c r="V306" s="97">
        <f t="shared" si="72"/>
        <v>798.35143593114628</v>
      </c>
      <c r="W306" s="97">
        <f t="shared" si="72"/>
        <v>754.71707874437118</v>
      </c>
      <c r="X306" s="97">
        <f t="shared" si="72"/>
        <v>697.16656431422848</v>
      </c>
      <c r="Y306" s="97">
        <f t="shared" si="72"/>
        <v>627.41945112456494</v>
      </c>
      <c r="Z306" s="97">
        <f t="shared" si="72"/>
        <v>546.72839105243224</v>
      </c>
      <c r="AA306" s="97">
        <f t="shared" si="72"/>
        <v>455.89948347817068</v>
      </c>
      <c r="AB306" s="97">
        <f t="shared" si="72"/>
        <v>355.95886783739411</v>
      </c>
      <c r="AC306" s="97">
        <f t="shared" si="72"/>
        <v>251.18143782191416</v>
      </c>
      <c r="AD306" s="97">
        <f t="shared" si="72"/>
        <v>142.63822034707036</v>
      </c>
      <c r="AE306" s="97">
        <f t="shared" si="72"/>
        <v>37.801149892392694</v>
      </c>
      <c r="AF306" s="28"/>
      <c r="AG306" s="11"/>
    </row>
    <row r="307" spans="1:33">
      <c r="B307" s="24" t="s">
        <v>951</v>
      </c>
      <c r="D307" s="2" t="s">
        <v>961</v>
      </c>
      <c r="E307" s="106" t="s">
        <v>970</v>
      </c>
      <c r="G307" t="s">
        <v>853</v>
      </c>
      <c r="I307" t="s">
        <v>960</v>
      </c>
      <c r="AF307" s="28"/>
      <c r="AG307" s="11"/>
    </row>
    <row r="308" spans="1:33">
      <c r="A308" t="s">
        <v>878</v>
      </c>
      <c r="C308" s="11"/>
      <c r="D308" s="24"/>
      <c r="G308" s="97">
        <f>SUM(H308:AE308)/48</f>
        <v>136.09619387879383</v>
      </c>
      <c r="H308" s="97">
        <f>H306*($P$20*(1-H$27)+$F$15*H$27)</f>
        <v>3.7801149892392694</v>
      </c>
      <c r="I308" s="97">
        <f t="shared" ref="I308:AE308" si="73">I306*($P$20*(1-I$27)+$F$15*I$27)</f>
        <v>14.263822034707037</v>
      </c>
      <c r="J308" s="97">
        <f t="shared" si="73"/>
        <v>25.118143782191417</v>
      </c>
      <c r="K308" s="97">
        <f t="shared" si="73"/>
        <v>35.59588678373941</v>
      </c>
      <c r="L308" s="97">
        <f t="shared" si="73"/>
        <v>45.589948347817071</v>
      </c>
      <c r="M308" s="97">
        <f t="shared" si="73"/>
        <v>54.672839105243227</v>
      </c>
      <c r="N308" s="97">
        <f t="shared" si="73"/>
        <v>62.741945112456499</v>
      </c>
      <c r="O308" s="97">
        <f t="shared" si="73"/>
        <v>69.716656431422848</v>
      </c>
      <c r="P308" s="97">
        <f t="shared" si="73"/>
        <v>528.30195512105979</v>
      </c>
      <c r="Q308" s="97">
        <f t="shared" si="73"/>
        <v>558.84600515180239</v>
      </c>
      <c r="R308" s="97">
        <f t="shared" si="73"/>
        <v>579.55834249916779</v>
      </c>
      <c r="S308" s="97">
        <f t="shared" si="73"/>
        <v>589.95882674138602</v>
      </c>
      <c r="T308" s="97">
        <f t="shared" si="73"/>
        <v>589.95882674138602</v>
      </c>
      <c r="U308" s="97">
        <f t="shared" si="73"/>
        <v>579.55834249916779</v>
      </c>
      <c r="V308" s="97">
        <f t="shared" si="73"/>
        <v>558.84600515180239</v>
      </c>
      <c r="W308" s="97">
        <f t="shared" si="73"/>
        <v>528.30195512105979</v>
      </c>
      <c r="X308" s="97">
        <f t="shared" si="73"/>
        <v>488.01659501995988</v>
      </c>
      <c r="Y308" s="97">
        <f t="shared" si="73"/>
        <v>439.19361578719543</v>
      </c>
      <c r="Z308" s="97">
        <f t="shared" si="73"/>
        <v>382.70987373670255</v>
      </c>
      <c r="AA308" s="97">
        <f t="shared" si="73"/>
        <v>319.12963843471948</v>
      </c>
      <c r="AB308" s="97">
        <f t="shared" si="73"/>
        <v>35.59588678373941</v>
      </c>
      <c r="AC308" s="97">
        <f t="shared" si="73"/>
        <v>25.118143782191417</v>
      </c>
      <c r="AD308" s="97">
        <f t="shared" si="73"/>
        <v>14.263822034707037</v>
      </c>
      <c r="AE308" s="97">
        <f t="shared" si="73"/>
        <v>3.7801149892392694</v>
      </c>
      <c r="AF308" s="28"/>
      <c r="AG308" s="11"/>
    </row>
    <row r="309" spans="1:33">
      <c r="B309" s="24" t="s">
        <v>917</v>
      </c>
      <c r="D309" s="14" t="s">
        <v>945</v>
      </c>
      <c r="G309" t="s">
        <v>888</v>
      </c>
      <c r="I309" s="24" t="s">
        <v>1009</v>
      </c>
      <c r="M309" s="2" t="s">
        <v>860</v>
      </c>
      <c r="AF309" s="28"/>
      <c r="AG309" s="11"/>
    </row>
    <row r="310" spans="1:33" ht="18">
      <c r="A310" s="20" t="s">
        <v>881</v>
      </c>
      <c r="G310" s="19">
        <f>SUM(H310:AE310)/48</f>
        <v>121.70908602059035</v>
      </c>
      <c r="H310" s="2">
        <f>H$64*H$27*$F$15*(1-H$262*$F$16)*(1-$H$263*$F$16)</f>
        <v>0</v>
      </c>
      <c r="I310" s="2">
        <f t="shared" ref="I310:AE310" si="74">I$64*I$27*$F$15*(1-I$262*$F$16)*(1-$H$263*$F$16)</f>
        <v>0</v>
      </c>
      <c r="J310" s="2">
        <f t="shared" si="74"/>
        <v>0</v>
      </c>
      <c r="K310" s="2">
        <f t="shared" si="74"/>
        <v>0</v>
      </c>
      <c r="L310" s="2">
        <f t="shared" si="74"/>
        <v>0</v>
      </c>
      <c r="M310" s="2">
        <f t="shared" si="74"/>
        <v>0</v>
      </c>
      <c r="N310" s="2">
        <f t="shared" si="74"/>
        <v>0</v>
      </c>
      <c r="O310" s="2">
        <f t="shared" si="74"/>
        <v>0</v>
      </c>
      <c r="P310" s="2">
        <f t="shared" si="74"/>
        <v>502.45548837862054</v>
      </c>
      <c r="Q310" s="2">
        <f t="shared" si="74"/>
        <v>531.48138513781294</v>
      </c>
      <c r="R310" s="2">
        <f t="shared" si="74"/>
        <v>551.16511353131466</v>
      </c>
      <c r="S310" s="2">
        <f t="shared" si="74"/>
        <v>561.04861173253585</v>
      </c>
      <c r="T310" s="2">
        <f t="shared" si="74"/>
        <v>561.04861173253585</v>
      </c>
      <c r="U310" s="2">
        <f t="shared" si="74"/>
        <v>551.16511353131466</v>
      </c>
      <c r="V310" s="2">
        <f t="shared" si="74"/>
        <v>531.48138513781294</v>
      </c>
      <c r="W310" s="2">
        <f t="shared" si="74"/>
        <v>502.45548837862054</v>
      </c>
      <c r="X310" s="2">
        <f t="shared" si="74"/>
        <v>464.17588158424383</v>
      </c>
      <c r="Y310" s="2">
        <f t="shared" si="74"/>
        <v>417.77966420731775</v>
      </c>
      <c r="Z310" s="2">
        <f t="shared" si="74"/>
        <v>364.10081757869835</v>
      </c>
      <c r="AA310" s="2">
        <f t="shared" si="74"/>
        <v>303.67856805750847</v>
      </c>
      <c r="AB310" s="2">
        <f t="shared" si="74"/>
        <v>0</v>
      </c>
      <c r="AC310" s="2">
        <f t="shared" si="74"/>
        <v>0</v>
      </c>
      <c r="AD310" s="2">
        <f t="shared" si="74"/>
        <v>0</v>
      </c>
      <c r="AE310" s="2">
        <f t="shared" si="74"/>
        <v>0</v>
      </c>
      <c r="AF310" s="2"/>
    </row>
    <row r="311" spans="1:33">
      <c r="B311" s="5" t="s">
        <v>942</v>
      </c>
      <c r="C311" s="11"/>
      <c r="D311" t="s">
        <v>769</v>
      </c>
      <c r="E311" s="12"/>
      <c r="F311" s="18"/>
      <c r="G311" s="2" t="s">
        <v>860</v>
      </c>
      <c r="I311" s="2" t="s">
        <v>867</v>
      </c>
      <c r="K311" s="9"/>
      <c r="AF311" s="2"/>
    </row>
    <row r="312" spans="1:33">
      <c r="A312" s="11" t="s">
        <v>568</v>
      </c>
      <c r="B312" t="s">
        <v>883</v>
      </c>
      <c r="C312" s="11"/>
      <c r="E312" s="12"/>
      <c r="F312" s="18"/>
      <c r="G312" s="2" t="s">
        <v>964</v>
      </c>
      <c r="H312" s="2"/>
      <c r="J312" t="s">
        <v>868</v>
      </c>
      <c r="AF312" s="2"/>
    </row>
    <row r="313" spans="1:33">
      <c r="A313" s="11"/>
      <c r="B313" t="s">
        <v>962</v>
      </c>
      <c r="C313" s="11"/>
      <c r="E313" s="12"/>
      <c r="F313" s="18"/>
      <c r="G313" s="19"/>
      <c r="I313" s="12" t="s">
        <v>858</v>
      </c>
      <c r="K313" s="11"/>
      <c r="AF313" s="2"/>
    </row>
    <row r="314" spans="1:33">
      <c r="A314" s="11"/>
      <c r="B314" s="2" t="s">
        <v>963</v>
      </c>
      <c r="C314" s="11"/>
      <c r="E314" s="12"/>
      <c r="F314" s="18"/>
      <c r="G314" s="19"/>
      <c r="H314" s="2"/>
      <c r="K314" s="11"/>
      <c r="L314" s="12"/>
      <c r="AF314" s="2"/>
    </row>
    <row r="315" spans="1:33" ht="18">
      <c r="A315" s="20" t="s">
        <v>882</v>
      </c>
      <c r="G315" s="19">
        <f>SUM(H315:AE315)/48</f>
        <v>7.7829700639919617</v>
      </c>
      <c r="H315" s="2">
        <f t="shared" ref="H315:AE315" si="75">H$64*$P$20*H$28^2*(1-H$262*$F$16)*(1-$H$263*$F$16)</f>
        <v>3.6295408998402747</v>
      </c>
      <c r="I315" s="2">
        <f t="shared" si="75"/>
        <v>13.608708828318337</v>
      </c>
      <c r="J315" s="2">
        <f t="shared" si="75"/>
        <v>23.927848868346366</v>
      </c>
      <c r="K315" s="2">
        <f t="shared" si="75"/>
        <v>33.886609957142163</v>
      </c>
      <c r="L315" s="2">
        <f t="shared" si="75"/>
        <v>43.382652579644073</v>
      </c>
      <c r="M315" s="2">
        <f t="shared" si="75"/>
        <v>52.014402511242636</v>
      </c>
      <c r="N315" s="2">
        <f t="shared" si="75"/>
        <v>59.682809172473974</v>
      </c>
      <c r="O315" s="2">
        <f t="shared" si="75"/>
        <v>66.310840226320551</v>
      </c>
      <c r="P315" s="2">
        <f t="shared" si="75"/>
        <v>0.17944838870665056</v>
      </c>
      <c r="Q315" s="2">
        <f t="shared" si="75"/>
        <v>0.18981478040636207</v>
      </c>
      <c r="R315" s="2">
        <f t="shared" si="75"/>
        <v>0.19684468340404127</v>
      </c>
      <c r="S315" s="2">
        <f t="shared" si="75"/>
        <v>0.20037450419019176</v>
      </c>
      <c r="T315" s="2">
        <f t="shared" si="75"/>
        <v>0.20037450419019176</v>
      </c>
      <c r="U315" s="2">
        <f t="shared" si="75"/>
        <v>0.19684468340404127</v>
      </c>
      <c r="V315" s="2">
        <f t="shared" si="75"/>
        <v>0.18981478040636207</v>
      </c>
      <c r="W315" s="2">
        <f t="shared" si="75"/>
        <v>0.17944838870665056</v>
      </c>
      <c r="X315" s="2">
        <f t="shared" si="75"/>
        <v>0.16577710056580164</v>
      </c>
      <c r="Y315" s="2">
        <f t="shared" si="75"/>
        <v>0.14920702293118521</v>
      </c>
      <c r="Z315" s="2">
        <f t="shared" si="75"/>
        <v>0.13003600627810682</v>
      </c>
      <c r="AA315" s="2">
        <f t="shared" si="75"/>
        <v>0.10845663144911039</v>
      </c>
      <c r="AB315" s="2">
        <f t="shared" si="75"/>
        <v>33.886609957142163</v>
      </c>
      <c r="AC315" s="2">
        <f t="shared" si="75"/>
        <v>23.927848868346366</v>
      </c>
      <c r="AD315" s="2">
        <f t="shared" si="75"/>
        <v>13.608708828318337</v>
      </c>
      <c r="AE315" s="2">
        <f t="shared" si="75"/>
        <v>3.6295408998402747</v>
      </c>
      <c r="AF315" s="2"/>
    </row>
    <row r="316" spans="1:33">
      <c r="A316" s="14"/>
      <c r="B316" s="5" t="s">
        <v>946</v>
      </c>
      <c r="G316" s="2"/>
      <c r="H316" s="2"/>
      <c r="I316" s="2"/>
      <c r="J316" s="10"/>
      <c r="K316" s="9"/>
      <c r="AF316" s="2"/>
    </row>
    <row r="317" spans="1:33">
      <c r="A317" s="11" t="s">
        <v>568</v>
      </c>
      <c r="B317" t="s">
        <v>726</v>
      </c>
      <c r="C317" s="11"/>
      <c r="E317" s="12"/>
      <c r="F317" s="18"/>
      <c r="G317" s="2" t="s">
        <v>964</v>
      </c>
      <c r="H317" s="2"/>
      <c r="J317" s="11"/>
      <c r="K317" t="s">
        <v>868</v>
      </c>
      <c r="M317" s="10"/>
      <c r="N317" s="10"/>
      <c r="AF317" s="2"/>
    </row>
    <row r="318" spans="1:33">
      <c r="A318" s="11"/>
      <c r="B318" t="s">
        <v>962</v>
      </c>
      <c r="C318" s="11"/>
      <c r="E318" s="12"/>
      <c r="F318" s="18"/>
      <c r="G318" s="19"/>
      <c r="H318" s="2"/>
      <c r="J318" s="11"/>
      <c r="M318" s="10"/>
      <c r="N318" s="10"/>
      <c r="AF318" s="2"/>
    </row>
    <row r="319" spans="1:33">
      <c r="A319" t="s">
        <v>834</v>
      </c>
      <c r="B319" s="5"/>
      <c r="C319" s="11"/>
      <c r="D319" s="5" t="s">
        <v>952</v>
      </c>
      <c r="F319" t="s">
        <v>971</v>
      </c>
      <c r="G319" s="97">
        <f>SUM(H319:AE319)/48</f>
        <v>6.7733671515405467</v>
      </c>
      <c r="H319" s="97">
        <f>H308*$H$263*$F$16</f>
        <v>0.18813242286527221</v>
      </c>
      <c r="I319" s="97">
        <f t="shared" ref="I319:AE319" si="76">I308*$H$263*$F$16</f>
        <v>0.70989570591039908</v>
      </c>
      <c r="J319" s="97">
        <f t="shared" si="76"/>
        <v>1.2501041002916518</v>
      </c>
      <c r="K319" s="97">
        <f t="shared" si="76"/>
        <v>1.7715705590243183</v>
      </c>
      <c r="L319" s="97">
        <f t="shared" si="76"/>
        <v>2.268964691654396</v>
      </c>
      <c r="M319" s="97">
        <f t="shared" si="76"/>
        <v>2.7210107933416507</v>
      </c>
      <c r="N319" s="97">
        <f t="shared" si="76"/>
        <v>3.12260187398739</v>
      </c>
      <c r="O319" s="97">
        <f t="shared" si="76"/>
        <v>3.4697260601452946</v>
      </c>
      <c r="P319" s="97">
        <f t="shared" si="76"/>
        <v>26.293043228663056</v>
      </c>
      <c r="Q319" s="97">
        <f t="shared" si="76"/>
        <v>27.813189084744039</v>
      </c>
      <c r="R319" s="97">
        <f t="shared" si="76"/>
        <v>28.844020744483288</v>
      </c>
      <c r="S319" s="97">
        <f t="shared" si="76"/>
        <v>29.361642114476155</v>
      </c>
      <c r="T319" s="97">
        <f t="shared" si="76"/>
        <v>29.361642114476155</v>
      </c>
      <c r="U319" s="97">
        <f t="shared" si="76"/>
        <v>28.844020744483288</v>
      </c>
      <c r="V319" s="97">
        <f t="shared" si="76"/>
        <v>27.813189084744039</v>
      </c>
      <c r="W319" s="97">
        <f t="shared" si="76"/>
        <v>26.293043228663056</v>
      </c>
      <c r="X319" s="97">
        <f t="shared" si="76"/>
        <v>24.288082421017059</v>
      </c>
      <c r="Y319" s="97">
        <f t="shared" si="76"/>
        <v>21.858213117911728</v>
      </c>
      <c r="Z319" s="97">
        <f t="shared" si="76"/>
        <v>19.047075553391554</v>
      </c>
      <c r="AA319" s="97">
        <f t="shared" si="76"/>
        <v>15.882752841580771</v>
      </c>
      <c r="AB319" s="97">
        <f t="shared" si="76"/>
        <v>1.7715705590243183</v>
      </c>
      <c r="AC319" s="97">
        <f t="shared" si="76"/>
        <v>1.2501041002916518</v>
      </c>
      <c r="AD319" s="97">
        <f t="shared" si="76"/>
        <v>0.70989570591039908</v>
      </c>
      <c r="AE319" s="97">
        <f t="shared" si="76"/>
        <v>0.18813242286527221</v>
      </c>
      <c r="AF319" s="28"/>
      <c r="AG319" s="11"/>
    </row>
    <row r="320" spans="1:33">
      <c r="A320" t="s">
        <v>918</v>
      </c>
      <c r="B320" s="5"/>
      <c r="C320" s="11"/>
      <c r="D320" s="104" t="s">
        <v>1094</v>
      </c>
      <c r="G320" s="97">
        <f>SUM(H320:AE320)/48</f>
        <v>4.4985856436369822</v>
      </c>
      <c r="H320" s="97">
        <f>H319*($P$20*(1-H$27)+$F$15*H$27)</f>
        <v>1.8813242286527223E-2</v>
      </c>
      <c r="I320" s="97">
        <f t="shared" ref="I320:AE320" si="77">I319*($P$20*(1-I$27)+$F$15*I$27)</f>
        <v>7.0989570591039913E-2</v>
      </c>
      <c r="J320" s="97">
        <f t="shared" si="77"/>
        <v>0.12501041002916519</v>
      </c>
      <c r="K320" s="97">
        <f t="shared" si="77"/>
        <v>0.17715705590243183</v>
      </c>
      <c r="L320" s="97">
        <f t="shared" si="77"/>
        <v>0.2268964691654396</v>
      </c>
      <c r="M320" s="97">
        <f t="shared" si="77"/>
        <v>0.27210107933416511</v>
      </c>
      <c r="N320" s="97">
        <f t="shared" si="77"/>
        <v>0.31226018739873901</v>
      </c>
      <c r="O320" s="97">
        <f t="shared" si="77"/>
        <v>0.34697260601452951</v>
      </c>
      <c r="P320" s="97">
        <f t="shared" si="77"/>
        <v>18.405130260064137</v>
      </c>
      <c r="Q320" s="97">
        <f t="shared" si="77"/>
        <v>19.469232359320827</v>
      </c>
      <c r="R320" s="97">
        <f t="shared" si="77"/>
        <v>20.1908145211383</v>
      </c>
      <c r="S320" s="97">
        <f t="shared" si="77"/>
        <v>20.553149480133307</v>
      </c>
      <c r="T320" s="97">
        <f t="shared" si="77"/>
        <v>20.553149480133307</v>
      </c>
      <c r="U320" s="97">
        <f t="shared" si="77"/>
        <v>20.1908145211383</v>
      </c>
      <c r="V320" s="97">
        <f t="shared" si="77"/>
        <v>19.469232359320827</v>
      </c>
      <c r="W320" s="97">
        <f t="shared" si="77"/>
        <v>18.405130260064137</v>
      </c>
      <c r="X320" s="97">
        <f t="shared" si="77"/>
        <v>17.001657694711941</v>
      </c>
      <c r="Y320" s="97">
        <f t="shared" si="77"/>
        <v>15.300749182538208</v>
      </c>
      <c r="Z320" s="97">
        <f t="shared" si="77"/>
        <v>13.332952887374088</v>
      </c>
      <c r="AA320" s="97">
        <f t="shared" si="77"/>
        <v>11.11792698910654</v>
      </c>
      <c r="AB320" s="97">
        <f t="shared" si="77"/>
        <v>0.17715705590243183</v>
      </c>
      <c r="AC320" s="97">
        <f t="shared" si="77"/>
        <v>0.12501041002916519</v>
      </c>
      <c r="AD320" s="97">
        <f t="shared" si="77"/>
        <v>7.0989570591039913E-2</v>
      </c>
      <c r="AE320" s="97">
        <f t="shared" si="77"/>
        <v>1.8813242286527223E-2</v>
      </c>
      <c r="AF320" s="28"/>
      <c r="AG320" s="11"/>
    </row>
    <row r="321" spans="1:33">
      <c r="A321" s="20" t="s">
        <v>835</v>
      </c>
      <c r="B321" s="5"/>
      <c r="C321" s="11"/>
      <c r="G321" s="19">
        <f>SUM(H321:AE321)/48</f>
        <v>4.2702178782663927</v>
      </c>
      <c r="H321" s="24">
        <f>H320*(1-($F$16+$F$13)*$H$263)</f>
        <v>1.7858200315407552E-2</v>
      </c>
      <c r="I321" s="24">
        <f t="shared" ref="I321:AE321" si="78">I320*(1-($F$16+$F$13)*$H$263)</f>
        <v>6.7385831352814188E-2</v>
      </c>
      <c r="J321" s="24">
        <f t="shared" si="78"/>
        <v>0.11866433811947467</v>
      </c>
      <c r="K321" s="24">
        <f t="shared" si="78"/>
        <v>0.16816379353489297</v>
      </c>
      <c r="L321" s="24">
        <f t="shared" si="78"/>
        <v>0.21537821793305964</v>
      </c>
      <c r="M321" s="24">
        <f t="shared" si="78"/>
        <v>0.25828804555756879</v>
      </c>
      <c r="N321" s="24">
        <f t="shared" si="78"/>
        <v>0.29640850270061253</v>
      </c>
      <c r="O321" s="24">
        <f t="shared" si="78"/>
        <v>0.32935876803137909</v>
      </c>
      <c r="P321" s="24">
        <f t="shared" si="78"/>
        <v>17.470805829719993</v>
      </c>
      <c r="Q321" s="24">
        <f t="shared" si="78"/>
        <v>18.480889480116623</v>
      </c>
      <c r="R321" s="24">
        <f t="shared" si="78"/>
        <v>19.165840994241833</v>
      </c>
      <c r="S321" s="24">
        <f t="shared" si="78"/>
        <v>19.509782255426867</v>
      </c>
      <c r="T321" s="24">
        <f t="shared" si="78"/>
        <v>19.509782255426867</v>
      </c>
      <c r="U321" s="24">
        <f t="shared" si="78"/>
        <v>19.165840994241833</v>
      </c>
      <c r="V321" s="24">
        <f t="shared" si="78"/>
        <v>18.480889480116623</v>
      </c>
      <c r="W321" s="24">
        <f t="shared" si="78"/>
        <v>17.470805829719993</v>
      </c>
      <c r="X321" s="24">
        <f t="shared" si="78"/>
        <v>16.138579633537571</v>
      </c>
      <c r="Y321" s="24">
        <f t="shared" si="78"/>
        <v>14.524016632330012</v>
      </c>
      <c r="Z321" s="24">
        <f t="shared" si="78"/>
        <v>12.656114232320869</v>
      </c>
      <c r="AA321" s="24">
        <f t="shared" si="78"/>
        <v>10.553532678719922</v>
      </c>
      <c r="AB321" s="24">
        <f t="shared" si="78"/>
        <v>0.16816379353489297</v>
      </c>
      <c r="AC321" s="24">
        <f t="shared" si="78"/>
        <v>0.11866433811947467</v>
      </c>
      <c r="AD321" s="24">
        <f t="shared" si="78"/>
        <v>6.7385831352814188E-2</v>
      </c>
      <c r="AE321" s="24">
        <f t="shared" si="78"/>
        <v>1.7858200315407552E-2</v>
      </c>
      <c r="AF321" s="28"/>
      <c r="AG321" s="11"/>
    </row>
    <row r="322" spans="1:33">
      <c r="A322" s="20"/>
      <c r="B322" s="24" t="s">
        <v>972</v>
      </c>
      <c r="C322" s="11"/>
      <c r="G322" s="19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8"/>
      <c r="AG322" s="11"/>
    </row>
    <row r="323" spans="1:33">
      <c r="A323" s="100" t="s">
        <v>836</v>
      </c>
      <c r="B323" s="5"/>
      <c r="C323" s="11"/>
      <c r="G323" s="19">
        <f>SUM(H323:AE323)/48</f>
        <v>0.14727759041475663</v>
      </c>
      <c r="H323" s="2">
        <f>H321^2/(H310+H315)</f>
        <v>8.7866572469057146E-5</v>
      </c>
      <c r="I323" s="2">
        <f t="shared" ref="I323:AE323" si="79">I321^2/(I310+I315)</f>
        <v>3.336723802673233E-4</v>
      </c>
      <c r="J323" s="2">
        <f t="shared" si="79"/>
        <v>5.8848688065565131E-4</v>
      </c>
      <c r="K323" s="2">
        <f t="shared" si="79"/>
        <v>8.3452022765959305E-4</v>
      </c>
      <c r="L323" s="2">
        <f t="shared" si="79"/>
        <v>1.0692701806294463E-3</v>
      </c>
      <c r="M323" s="2">
        <f t="shared" si="79"/>
        <v>1.2825815785066285E-3</v>
      </c>
      <c r="N323" s="2">
        <f t="shared" si="79"/>
        <v>1.4720821906911781E-3</v>
      </c>
      <c r="O323" s="2">
        <f t="shared" si="79"/>
        <v>1.6358893615118191E-3</v>
      </c>
      <c r="P323" s="2">
        <f t="shared" si="79"/>
        <v>0.60725794013214507</v>
      </c>
      <c r="Q323" s="2">
        <f t="shared" si="79"/>
        <v>0.64239566865540365</v>
      </c>
      <c r="R323" s="2">
        <f t="shared" si="79"/>
        <v>0.66622199000807825</v>
      </c>
      <c r="S323" s="2">
        <f t="shared" si="79"/>
        <v>0.67818671033398459</v>
      </c>
      <c r="T323" s="2">
        <f t="shared" si="79"/>
        <v>0.67818671033398459</v>
      </c>
      <c r="U323" s="2">
        <f t="shared" si="79"/>
        <v>0.66622199000807825</v>
      </c>
      <c r="V323" s="2">
        <f t="shared" si="79"/>
        <v>0.64239566865540365</v>
      </c>
      <c r="W323" s="2">
        <f t="shared" si="79"/>
        <v>0.60725794013214507</v>
      </c>
      <c r="X323" s="2">
        <f t="shared" si="79"/>
        <v>0.56090972609637646</v>
      </c>
      <c r="Y323" s="2">
        <f t="shared" si="79"/>
        <v>0.50474392571931714</v>
      </c>
      <c r="Z323" s="2">
        <f t="shared" si="79"/>
        <v>0.43976842127731747</v>
      </c>
      <c r="AA323" s="2">
        <f t="shared" si="79"/>
        <v>0.36662873312264205</v>
      </c>
      <c r="AB323" s="2">
        <f t="shared" si="79"/>
        <v>8.3452022765959305E-4</v>
      </c>
      <c r="AC323" s="2">
        <f t="shared" si="79"/>
        <v>5.8848688065565131E-4</v>
      </c>
      <c r="AD323" s="2">
        <f t="shared" si="79"/>
        <v>3.336723802673233E-4</v>
      </c>
      <c r="AE323" s="2">
        <f t="shared" si="79"/>
        <v>8.7866572469057146E-5</v>
      </c>
      <c r="AF323" s="28"/>
      <c r="AG323" s="11"/>
    </row>
    <row r="324" spans="1:33" ht="18">
      <c r="A324" s="100"/>
      <c r="B324" s="24" t="s">
        <v>973</v>
      </c>
      <c r="C324" s="11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8"/>
      <c r="AG324" s="11"/>
    </row>
    <row r="325" spans="1:33" ht="18">
      <c r="A325" s="20" t="s">
        <v>890</v>
      </c>
      <c r="G325" s="19">
        <f>(SUM(H325:AE325)+24*$P$24*(1-$H$263))/48</f>
        <v>246.91489077856897</v>
      </c>
      <c r="H325" s="2">
        <f>$P$24*(1-H$27)*(1-$H$263)</f>
        <v>329.2198543714253</v>
      </c>
      <c r="I325" s="2">
        <f t="shared" ref="I325:AE325" si="80">$P$24*(1-I$27)*(1-$H$263)</f>
        <v>329.2198543714253</v>
      </c>
      <c r="J325" s="2">
        <f t="shared" si="80"/>
        <v>329.2198543714253</v>
      </c>
      <c r="K325" s="2">
        <f t="shared" si="80"/>
        <v>329.2198543714253</v>
      </c>
      <c r="L325" s="2">
        <f t="shared" si="80"/>
        <v>329.2198543714253</v>
      </c>
      <c r="M325" s="2">
        <f t="shared" si="80"/>
        <v>329.2198543714253</v>
      </c>
      <c r="N325" s="2">
        <f t="shared" si="80"/>
        <v>329.2198543714253</v>
      </c>
      <c r="O325" s="2">
        <f t="shared" si="80"/>
        <v>329.2198543714253</v>
      </c>
      <c r="P325" s="2">
        <f t="shared" si="80"/>
        <v>0</v>
      </c>
      <c r="Q325" s="2">
        <f t="shared" si="80"/>
        <v>0</v>
      </c>
      <c r="R325" s="2">
        <f t="shared" si="80"/>
        <v>0</v>
      </c>
      <c r="S325" s="2">
        <f t="shared" si="80"/>
        <v>0</v>
      </c>
      <c r="T325" s="2">
        <f t="shared" si="80"/>
        <v>0</v>
      </c>
      <c r="U325" s="2">
        <f t="shared" si="80"/>
        <v>0</v>
      </c>
      <c r="V325" s="2">
        <f t="shared" si="80"/>
        <v>0</v>
      </c>
      <c r="W325" s="2">
        <f t="shared" si="80"/>
        <v>0</v>
      </c>
      <c r="X325" s="2">
        <f t="shared" si="80"/>
        <v>0</v>
      </c>
      <c r="Y325" s="2">
        <f t="shared" si="80"/>
        <v>0</v>
      </c>
      <c r="Z325" s="2">
        <f t="shared" si="80"/>
        <v>0</v>
      </c>
      <c r="AA325" s="2">
        <f t="shared" si="80"/>
        <v>0</v>
      </c>
      <c r="AB325" s="2">
        <f t="shared" si="80"/>
        <v>329.2198543714253</v>
      </c>
      <c r="AC325" s="2">
        <f t="shared" si="80"/>
        <v>329.2198543714253</v>
      </c>
      <c r="AD325" s="2">
        <f t="shared" si="80"/>
        <v>329.2198543714253</v>
      </c>
      <c r="AE325" s="2">
        <f t="shared" si="80"/>
        <v>329.2198543714253</v>
      </c>
      <c r="AF325" s="2"/>
    </row>
    <row r="326" spans="1:33">
      <c r="A326" s="14"/>
      <c r="B326" s="5" t="s">
        <v>965</v>
      </c>
      <c r="D326" t="s">
        <v>975</v>
      </c>
      <c r="E326" s="12"/>
      <c r="F326" s="6"/>
      <c r="G326" s="2" t="s">
        <v>860</v>
      </c>
      <c r="I326" s="2" t="s">
        <v>966</v>
      </c>
      <c r="J326" s="10"/>
      <c r="K326" s="9"/>
      <c r="AF326" s="2"/>
    </row>
    <row r="327" spans="1:33" ht="18">
      <c r="A327" s="20" t="s">
        <v>891</v>
      </c>
      <c r="D327" s="105" t="s">
        <v>892</v>
      </c>
      <c r="E327">
        <f>$F$7</f>
        <v>-5</v>
      </c>
      <c r="F327" s="5" t="s">
        <v>893</v>
      </c>
      <c r="G327" s="19">
        <f>SUM(H327:AE327)/48</f>
        <v>66.194127351477249</v>
      </c>
      <c r="H327" s="2">
        <f>$M$9*($F$7+273)^4*H$27*(1-$H$263)</f>
        <v>0</v>
      </c>
      <c r="I327" s="2">
        <f t="shared" ref="I327:AE327" si="81">$M$9*($F$7+273)^4*I$27*(1-$H$263)</f>
        <v>0</v>
      </c>
      <c r="J327" s="2">
        <f t="shared" si="81"/>
        <v>0</v>
      </c>
      <c r="K327" s="2">
        <f t="shared" si="81"/>
        <v>0</v>
      </c>
      <c r="L327" s="2">
        <f t="shared" si="81"/>
        <v>0</v>
      </c>
      <c r="M327" s="2">
        <f t="shared" si="81"/>
        <v>0</v>
      </c>
      <c r="N327" s="2">
        <f t="shared" si="81"/>
        <v>0</v>
      </c>
      <c r="O327" s="2">
        <f t="shared" si="81"/>
        <v>0</v>
      </c>
      <c r="P327" s="2">
        <f t="shared" si="81"/>
        <v>264.77650940590894</v>
      </c>
      <c r="Q327" s="2">
        <f t="shared" si="81"/>
        <v>264.77650940590894</v>
      </c>
      <c r="R327" s="2">
        <f t="shared" si="81"/>
        <v>264.77650940590894</v>
      </c>
      <c r="S327" s="2">
        <f t="shared" si="81"/>
        <v>264.77650940590894</v>
      </c>
      <c r="T327" s="2">
        <f t="shared" si="81"/>
        <v>264.77650940590894</v>
      </c>
      <c r="U327" s="2">
        <f t="shared" si="81"/>
        <v>264.77650940590894</v>
      </c>
      <c r="V327" s="2">
        <f t="shared" si="81"/>
        <v>264.77650940590894</v>
      </c>
      <c r="W327" s="2">
        <f t="shared" si="81"/>
        <v>264.77650940590894</v>
      </c>
      <c r="X327" s="2">
        <f t="shared" si="81"/>
        <v>264.77650940590894</v>
      </c>
      <c r="Y327" s="2">
        <f t="shared" si="81"/>
        <v>264.77650940590894</v>
      </c>
      <c r="Z327" s="2">
        <f t="shared" si="81"/>
        <v>264.77650940590894</v>
      </c>
      <c r="AA327" s="2">
        <f t="shared" si="81"/>
        <v>264.77650940590894</v>
      </c>
      <c r="AB327" s="2">
        <f t="shared" si="81"/>
        <v>0</v>
      </c>
      <c r="AC327" s="2">
        <f t="shared" si="81"/>
        <v>0</v>
      </c>
      <c r="AD327" s="2">
        <f t="shared" si="81"/>
        <v>0</v>
      </c>
      <c r="AE327" s="2">
        <f t="shared" si="81"/>
        <v>0</v>
      </c>
      <c r="AF327" s="2"/>
    </row>
    <row r="328" spans="1:33">
      <c r="A328" s="14"/>
      <c r="B328" t="s">
        <v>967</v>
      </c>
      <c r="D328" t="s">
        <v>744</v>
      </c>
      <c r="E328" s="30"/>
      <c r="F328" t="s">
        <v>618</v>
      </c>
      <c r="H328" s="2" t="s">
        <v>860</v>
      </c>
      <c r="I328" s="2"/>
      <c r="J328" s="2" t="s">
        <v>968</v>
      </c>
      <c r="K328" s="9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3">
      <c r="A329" s="20" t="s">
        <v>914</v>
      </c>
      <c r="B329" s="11"/>
      <c r="C329" s="11"/>
      <c r="D329" s="11"/>
      <c r="E329" s="27"/>
      <c r="F329" s="6"/>
      <c r="G329" s="19">
        <f>SUM(H329:AE329)/24</f>
        <v>12.551783676120003</v>
      </c>
      <c r="H329" s="24">
        <f t="shared" ref="H329:AE329" si="82">$M$9*($F$9+273)^4*$F$11*$H$18</f>
        <v>12.551783676119999</v>
      </c>
      <c r="I329" s="24">
        <f t="shared" si="82"/>
        <v>12.551783676119999</v>
      </c>
      <c r="J329" s="24">
        <f t="shared" si="82"/>
        <v>12.551783676119999</v>
      </c>
      <c r="K329" s="24">
        <f t="shared" si="82"/>
        <v>12.551783676119999</v>
      </c>
      <c r="L329" s="24">
        <f t="shared" si="82"/>
        <v>12.551783676119999</v>
      </c>
      <c r="M329" s="24">
        <f t="shared" si="82"/>
        <v>12.551783676119999</v>
      </c>
      <c r="N329" s="24">
        <f t="shared" si="82"/>
        <v>12.551783676119999</v>
      </c>
      <c r="O329" s="24">
        <f t="shared" si="82"/>
        <v>12.551783676119999</v>
      </c>
      <c r="P329" s="24">
        <f t="shared" si="82"/>
        <v>12.551783676119999</v>
      </c>
      <c r="Q329" s="24">
        <f t="shared" si="82"/>
        <v>12.551783676119999</v>
      </c>
      <c r="R329" s="24">
        <f t="shared" si="82"/>
        <v>12.551783676119999</v>
      </c>
      <c r="S329" s="24">
        <f t="shared" si="82"/>
        <v>12.551783676119999</v>
      </c>
      <c r="T329" s="24">
        <f t="shared" si="82"/>
        <v>12.551783676119999</v>
      </c>
      <c r="U329" s="24">
        <f t="shared" si="82"/>
        <v>12.551783676119999</v>
      </c>
      <c r="V329" s="24">
        <f t="shared" si="82"/>
        <v>12.551783676119999</v>
      </c>
      <c r="W329" s="24">
        <f t="shared" si="82"/>
        <v>12.551783676119999</v>
      </c>
      <c r="X329" s="24">
        <f t="shared" si="82"/>
        <v>12.551783676119999</v>
      </c>
      <c r="Y329" s="24">
        <f t="shared" si="82"/>
        <v>12.551783676119999</v>
      </c>
      <c r="Z329" s="24">
        <f t="shared" si="82"/>
        <v>12.551783676119999</v>
      </c>
      <c r="AA329" s="24">
        <f t="shared" si="82"/>
        <v>12.551783676119999</v>
      </c>
      <c r="AB329" s="24">
        <f t="shared" si="82"/>
        <v>12.551783676119999</v>
      </c>
      <c r="AC329" s="24">
        <f t="shared" si="82"/>
        <v>12.551783676119999</v>
      </c>
      <c r="AD329" s="24">
        <f t="shared" si="82"/>
        <v>12.551783676119999</v>
      </c>
      <c r="AE329" s="24">
        <f t="shared" si="82"/>
        <v>12.551783676119999</v>
      </c>
      <c r="AF329" s="28"/>
      <c r="AG329" s="11"/>
    </row>
    <row r="330" spans="1:33">
      <c r="A330" s="20"/>
      <c r="B330" s="5" t="s">
        <v>272</v>
      </c>
      <c r="C330" s="11"/>
      <c r="D330" t="s">
        <v>743</v>
      </c>
      <c r="E330" s="27"/>
      <c r="F330" s="6"/>
      <c r="G330" s="28"/>
      <c r="H330" t="s">
        <v>717</v>
      </c>
      <c r="I330" s="29"/>
      <c r="J330" s="11"/>
      <c r="K330" s="2" t="s">
        <v>273</v>
      </c>
      <c r="L330" s="11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11"/>
    </row>
    <row r="331" spans="1:33">
      <c r="A331" s="20"/>
      <c r="B331" s="27" t="s">
        <v>925</v>
      </c>
      <c r="C331" s="11" t="s">
        <v>266</v>
      </c>
      <c r="E331" s="27"/>
      <c r="F331" s="6"/>
      <c r="G331" s="28"/>
      <c r="I331" s="29"/>
      <c r="J331" s="11"/>
      <c r="K331" s="2"/>
      <c r="L331" s="11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11"/>
    </row>
    <row r="332" spans="1:33">
      <c r="A332" s="20"/>
      <c r="B332" s="14"/>
      <c r="C332" t="s">
        <v>274</v>
      </c>
      <c r="E332" s="27"/>
      <c r="F332" s="6"/>
      <c r="G332" s="28"/>
      <c r="I332" s="29"/>
      <c r="J332" s="11"/>
      <c r="K332" s="2"/>
      <c r="L332" s="11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11"/>
    </row>
    <row r="333" spans="1:33">
      <c r="A333" s="3"/>
      <c r="B333" s="16" t="s">
        <v>333</v>
      </c>
      <c r="E333" s="12"/>
      <c r="F333" s="6"/>
      <c r="G333" s="32">
        <f>G304+G310+G315+G321+G323+G325+G327+G329</f>
        <v>475.41801277152405</v>
      </c>
      <c r="H333" s="2"/>
      <c r="I333" s="29"/>
      <c r="K333" s="10"/>
      <c r="L333" s="3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3">
      <c r="A334" s="20"/>
      <c r="B334" s="16" t="s">
        <v>725</v>
      </c>
      <c r="E334" s="30"/>
      <c r="F334" s="6"/>
      <c r="G334" s="32">
        <f>G301-G333</f>
        <v>15.196193141194328</v>
      </c>
      <c r="H334" s="33"/>
      <c r="I334" s="8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3">
      <c r="A335" s="39" t="s">
        <v>507</v>
      </c>
      <c r="B335" s="16"/>
      <c r="E335" s="30"/>
      <c r="F335" s="6"/>
      <c r="G335" s="32"/>
      <c r="H335" s="3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3">
      <c r="A336" s="3" t="s">
        <v>977</v>
      </c>
      <c r="E336" s="12"/>
      <c r="F336" s="6"/>
      <c r="G336" s="87" t="s">
        <v>535</v>
      </c>
      <c r="H336" s="21"/>
      <c r="I336" s="2"/>
      <c r="J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3">
      <c r="A337" s="20" t="s">
        <v>935</v>
      </c>
      <c r="B337" s="11"/>
      <c r="C337" s="11"/>
      <c r="E337" s="14" t="s">
        <v>563</v>
      </c>
      <c r="F337" s="31">
        <f>$F$15</f>
        <v>0.7</v>
      </c>
      <c r="G337" s="19">
        <f>SUM(H337:AE337)/48</f>
        <v>196.19108822111602</v>
      </c>
      <c r="H337" s="2">
        <f>H$64*$F$15</f>
        <v>40.571399716248429</v>
      </c>
      <c r="I337" s="2">
        <f t="shared" ref="I337:AE337" si="83">I$64*$F$15</f>
        <v>120.42843561905099</v>
      </c>
      <c r="J337" s="2">
        <f t="shared" si="83"/>
        <v>198.29720461444057</v>
      </c>
      <c r="K337" s="2">
        <f t="shared" si="83"/>
        <v>272.57484484730224</v>
      </c>
      <c r="L337" s="2">
        <f t="shared" si="83"/>
        <v>342.29853625761945</v>
      </c>
      <c r="M337" s="2">
        <f t="shared" si="83"/>
        <v>406.21888198654005</v>
      </c>
      <c r="N337" s="2">
        <f t="shared" si="83"/>
        <v>463.0376470623201</v>
      </c>
      <c r="O337" s="2">
        <f t="shared" si="83"/>
        <v>512.02740658883533</v>
      </c>
      <c r="P337" s="2">
        <f t="shared" si="83"/>
        <v>552.27023234662875</v>
      </c>
      <c r="Q337" s="2">
        <f t="shared" si="83"/>
        <v>582.92122669687183</v>
      </c>
      <c r="R337" s="2">
        <f t="shared" si="83"/>
        <v>603.7528592428398</v>
      </c>
      <c r="S337" s="2">
        <f t="shared" si="83"/>
        <v>614.18744232808569</v>
      </c>
      <c r="T337" s="2">
        <f t="shared" si="83"/>
        <v>614.18744232808569</v>
      </c>
      <c r="U337" s="2">
        <f t="shared" si="83"/>
        <v>603.7528592428398</v>
      </c>
      <c r="V337" s="2">
        <f t="shared" si="83"/>
        <v>582.92122669687183</v>
      </c>
      <c r="W337" s="2">
        <f t="shared" si="83"/>
        <v>552.27023234662875</v>
      </c>
      <c r="X337" s="2">
        <f t="shared" si="83"/>
        <v>512.02740658883533</v>
      </c>
      <c r="Y337" s="2">
        <f t="shared" si="83"/>
        <v>463.0376470623201</v>
      </c>
      <c r="Z337" s="2">
        <f t="shared" si="83"/>
        <v>406.21888198654005</v>
      </c>
      <c r="AA337" s="2">
        <f t="shared" si="83"/>
        <v>342.29853625761945</v>
      </c>
      <c r="AB337" s="2">
        <f t="shared" si="83"/>
        <v>272.57484484730224</v>
      </c>
      <c r="AC337" s="2">
        <f t="shared" si="83"/>
        <v>198.29720461444057</v>
      </c>
      <c r="AD337" s="2">
        <f t="shared" si="83"/>
        <v>120.42843561905099</v>
      </c>
      <c r="AE337" s="2">
        <f t="shared" si="83"/>
        <v>40.571399716248429</v>
      </c>
      <c r="AF337" s="28"/>
      <c r="AG337" s="11"/>
    </row>
    <row r="338" spans="1:33">
      <c r="A338" s="3"/>
      <c r="B338" s="5" t="s">
        <v>943</v>
      </c>
      <c r="C338" s="11"/>
      <c r="D338" t="s">
        <v>974</v>
      </c>
      <c r="F338" s="27"/>
      <c r="G338" s="2"/>
      <c r="H338" s="2" t="s">
        <v>1019</v>
      </c>
      <c r="I338" s="2"/>
      <c r="J338" s="2"/>
      <c r="K338" s="2"/>
      <c r="M338" s="2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11"/>
    </row>
    <row r="339" spans="1:33">
      <c r="A339" s="20" t="s">
        <v>936</v>
      </c>
      <c r="B339" s="11"/>
      <c r="C339" s="11"/>
      <c r="D339" s="24" t="s">
        <v>1015</v>
      </c>
      <c r="E339" s="27"/>
      <c r="F339" s="6"/>
      <c r="G339" s="25">
        <f>$M$9*($F$7+273)^4</f>
        <v>294.04515763199998</v>
      </c>
      <c r="H339" s="24">
        <f>$M$9*($F$7+273)^4</f>
        <v>294.04515763199998</v>
      </c>
      <c r="I339" s="24">
        <f t="shared" ref="I339:AE339" si="84">$M$9*($F$7+273)^4</f>
        <v>294.04515763199998</v>
      </c>
      <c r="J339" s="24">
        <f t="shared" si="84"/>
        <v>294.04515763199998</v>
      </c>
      <c r="K339" s="24">
        <f t="shared" si="84"/>
        <v>294.04515763199998</v>
      </c>
      <c r="L339" s="24">
        <f t="shared" si="84"/>
        <v>294.04515763199998</v>
      </c>
      <c r="M339" s="24">
        <f t="shared" si="84"/>
        <v>294.04515763199998</v>
      </c>
      <c r="N339" s="24">
        <f t="shared" si="84"/>
        <v>294.04515763199998</v>
      </c>
      <c r="O339" s="24">
        <f t="shared" si="84"/>
        <v>294.04515763199998</v>
      </c>
      <c r="P339" s="24">
        <f t="shared" si="84"/>
        <v>294.04515763199998</v>
      </c>
      <c r="Q339" s="24">
        <f t="shared" si="84"/>
        <v>294.04515763199998</v>
      </c>
      <c r="R339" s="24">
        <f t="shared" si="84"/>
        <v>294.04515763199998</v>
      </c>
      <c r="S339" s="24">
        <f t="shared" si="84"/>
        <v>294.04515763199998</v>
      </c>
      <c r="T339" s="24">
        <f t="shared" si="84"/>
        <v>294.04515763199998</v>
      </c>
      <c r="U339" s="24">
        <f t="shared" si="84"/>
        <v>294.04515763199998</v>
      </c>
      <c r="V339" s="24">
        <f t="shared" si="84"/>
        <v>294.04515763199998</v>
      </c>
      <c r="W339" s="24">
        <f t="shared" si="84"/>
        <v>294.04515763199998</v>
      </c>
      <c r="X339" s="24">
        <f t="shared" si="84"/>
        <v>294.04515763199998</v>
      </c>
      <c r="Y339" s="24">
        <f t="shared" si="84"/>
        <v>294.04515763199998</v>
      </c>
      <c r="Z339" s="24">
        <f t="shared" si="84"/>
        <v>294.04515763199998</v>
      </c>
      <c r="AA339" s="24">
        <f t="shared" si="84"/>
        <v>294.04515763199998</v>
      </c>
      <c r="AB339" s="24">
        <f t="shared" si="84"/>
        <v>294.04515763199998</v>
      </c>
      <c r="AC339" s="24">
        <f t="shared" si="84"/>
        <v>294.04515763199998</v>
      </c>
      <c r="AD339" s="24">
        <f t="shared" si="84"/>
        <v>294.04515763199998</v>
      </c>
      <c r="AE339" s="24">
        <f t="shared" si="84"/>
        <v>294.04515763199998</v>
      </c>
      <c r="AF339" s="28"/>
      <c r="AG339" s="11"/>
    </row>
    <row r="340" spans="1:33">
      <c r="A340" s="20"/>
      <c r="B340" s="16" t="s">
        <v>729</v>
      </c>
      <c r="C340" s="11"/>
      <c r="D340" s="11"/>
      <c r="E340" s="21"/>
      <c r="F340" s="21"/>
      <c r="G340" s="82">
        <f>G337+G339</f>
        <v>490.23624585311597</v>
      </c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8"/>
      <c r="AG340" s="11"/>
    </row>
    <row r="341" spans="1:33">
      <c r="A341" s="39" t="s">
        <v>507</v>
      </c>
      <c r="B341" s="16"/>
      <c r="C341" s="11"/>
      <c r="D341" s="11"/>
      <c r="E341" s="21"/>
      <c r="F341" s="21"/>
      <c r="G341" s="82"/>
      <c r="H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8"/>
      <c r="AG341" s="11"/>
    </row>
    <row r="342" spans="1:33">
      <c r="A342" s="3" t="s">
        <v>323</v>
      </c>
      <c r="B342" s="16"/>
      <c r="C342" s="11"/>
      <c r="D342" s="11"/>
      <c r="E342" s="21"/>
      <c r="F342" s="21"/>
      <c r="G342" s="82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8"/>
      <c r="AG342" s="11"/>
    </row>
    <row r="343" spans="1:33">
      <c r="A343" s="3" t="s">
        <v>877</v>
      </c>
      <c r="G343" s="19">
        <f>SUM(H343:AE343)/48</f>
        <v>15.847659412094414</v>
      </c>
      <c r="H343" s="24">
        <f>H$64*H$262*$F$16</f>
        <v>19.762737803324292</v>
      </c>
      <c r="I343" s="24">
        <f t="shared" ref="I343:AE343" si="85">I$64*I$262*$F$16</f>
        <v>28.825884280254563</v>
      </c>
      <c r="J343" s="24">
        <f t="shared" si="85"/>
        <v>31.470865741037368</v>
      </c>
      <c r="K343" s="24">
        <f t="shared" si="85"/>
        <v>32.778203587011703</v>
      </c>
      <c r="L343" s="24">
        <f t="shared" si="85"/>
        <v>32.449436726750633</v>
      </c>
      <c r="M343" s="24">
        <f t="shared" si="85"/>
        <v>32.925781862517539</v>
      </c>
      <c r="N343" s="24">
        <f t="shared" si="85"/>
        <v>33.395001785888923</v>
      </c>
      <c r="O343" s="24">
        <f t="shared" si="85"/>
        <v>33.628587631478084</v>
      </c>
      <c r="P343" s="24">
        <f t="shared" si="85"/>
        <v>33.569015722085517</v>
      </c>
      <c r="Q343" s="24">
        <f t="shared" si="85"/>
        <v>33.718797682170056</v>
      </c>
      <c r="R343" s="24">
        <f t="shared" si="85"/>
        <v>33.885877792257617</v>
      </c>
      <c r="S343" s="24">
        <f t="shared" si="85"/>
        <v>33.933635275489614</v>
      </c>
      <c r="T343" s="24">
        <f t="shared" si="85"/>
        <v>33.933635275489614</v>
      </c>
      <c r="U343" s="24">
        <f t="shared" si="85"/>
        <v>33.885877792257617</v>
      </c>
      <c r="V343" s="24">
        <f t="shared" si="85"/>
        <v>33.718797682170056</v>
      </c>
      <c r="W343" s="24">
        <f t="shared" si="85"/>
        <v>33.569015722085517</v>
      </c>
      <c r="X343" s="24">
        <f t="shared" si="85"/>
        <v>33.628587631478084</v>
      </c>
      <c r="Y343" s="24">
        <f t="shared" si="85"/>
        <v>33.395001785888923</v>
      </c>
      <c r="Z343" s="24">
        <f t="shared" si="85"/>
        <v>32.925781862517539</v>
      </c>
      <c r="AA343" s="24">
        <f t="shared" si="85"/>
        <v>32.449436726750633</v>
      </c>
      <c r="AB343" s="24">
        <f t="shared" si="85"/>
        <v>32.778203587011703</v>
      </c>
      <c r="AC343" s="24">
        <f t="shared" si="85"/>
        <v>31.470865741037368</v>
      </c>
      <c r="AD343" s="24">
        <f t="shared" si="85"/>
        <v>28.825884280254563</v>
      </c>
      <c r="AE343" s="24">
        <f t="shared" si="85"/>
        <v>19.762737803324292</v>
      </c>
      <c r="AF343" s="28"/>
      <c r="AG343" s="11"/>
    </row>
    <row r="344" spans="1:33">
      <c r="B344" s="5" t="s">
        <v>939</v>
      </c>
      <c r="D344" t="s">
        <v>769</v>
      </c>
      <c r="G344" t="s">
        <v>894</v>
      </c>
      <c r="J344" s="2"/>
      <c r="K344" s="2" t="s">
        <v>941</v>
      </c>
      <c r="L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3">
      <c r="A345" t="s">
        <v>879</v>
      </c>
      <c r="C345" s="11"/>
      <c r="G345" s="98">
        <f>SUM(H345:AE345)/48</f>
        <v>264.10837057268657</v>
      </c>
      <c r="H345" s="97">
        <f>H$64*(1-($F$16+$F$13)*H$262)</f>
        <v>37.801149892392694</v>
      </c>
      <c r="I345" s="97">
        <f t="shared" ref="I345:AE345" si="86">I$64*(1-($F$16+$F$13)*I$262)</f>
        <v>142.63822034707036</v>
      </c>
      <c r="J345" s="97">
        <f t="shared" si="86"/>
        <v>251.18143782191416</v>
      </c>
      <c r="K345" s="97">
        <f t="shared" si="86"/>
        <v>355.95886783739411</v>
      </c>
      <c r="L345" s="97">
        <f t="shared" si="86"/>
        <v>455.89948347817068</v>
      </c>
      <c r="M345" s="97">
        <f t="shared" si="86"/>
        <v>546.72839105243224</v>
      </c>
      <c r="N345" s="97">
        <f t="shared" si="86"/>
        <v>627.41945112456494</v>
      </c>
      <c r="O345" s="97">
        <f t="shared" si="86"/>
        <v>697.16656431422848</v>
      </c>
      <c r="P345" s="97">
        <f t="shared" si="86"/>
        <v>754.71707874437118</v>
      </c>
      <c r="Q345" s="97">
        <f t="shared" si="86"/>
        <v>798.35143593114628</v>
      </c>
      <c r="R345" s="97">
        <f t="shared" si="86"/>
        <v>827.94048928452548</v>
      </c>
      <c r="S345" s="97">
        <f t="shared" si="86"/>
        <v>842.79832391626587</v>
      </c>
      <c r="T345" s="97">
        <f t="shared" si="86"/>
        <v>842.79832391626587</v>
      </c>
      <c r="U345" s="97">
        <f t="shared" si="86"/>
        <v>827.94048928452548</v>
      </c>
      <c r="V345" s="97">
        <f t="shared" si="86"/>
        <v>798.35143593114628</v>
      </c>
      <c r="W345" s="97">
        <f t="shared" si="86"/>
        <v>754.71707874437118</v>
      </c>
      <c r="X345" s="97">
        <f t="shared" si="86"/>
        <v>697.16656431422848</v>
      </c>
      <c r="Y345" s="97">
        <f t="shared" si="86"/>
        <v>627.41945112456494</v>
      </c>
      <c r="Z345" s="97">
        <f t="shared" si="86"/>
        <v>546.72839105243224</v>
      </c>
      <c r="AA345" s="97">
        <f t="shared" si="86"/>
        <v>455.89948347817068</v>
      </c>
      <c r="AB345" s="97">
        <f t="shared" si="86"/>
        <v>355.95886783739411</v>
      </c>
      <c r="AC345" s="97">
        <f t="shared" si="86"/>
        <v>251.18143782191416</v>
      </c>
      <c r="AD345" s="97">
        <f t="shared" si="86"/>
        <v>142.63822034707036</v>
      </c>
      <c r="AE345" s="97">
        <f t="shared" si="86"/>
        <v>37.801149892392694</v>
      </c>
      <c r="AF345" s="28"/>
      <c r="AG345" s="11"/>
    </row>
    <row r="346" spans="1:33">
      <c r="B346" s="24" t="s">
        <v>951</v>
      </c>
      <c r="D346" s="2" t="s">
        <v>961</v>
      </c>
      <c r="E346" s="106" t="s">
        <v>970</v>
      </c>
      <c r="G346" t="s">
        <v>853</v>
      </c>
      <c r="I346" t="s">
        <v>960</v>
      </c>
      <c r="AF346" s="28"/>
      <c r="AG346" s="11"/>
    </row>
    <row r="347" spans="1:33">
      <c r="A347" t="s">
        <v>895</v>
      </c>
      <c r="C347" s="11"/>
      <c r="D347" s="24"/>
      <c r="G347" s="97">
        <f>SUM(H347:AE347)/48</f>
        <v>184.8758594008805</v>
      </c>
      <c r="H347" s="97">
        <f>H345*$F$15</f>
        <v>26.460804924674886</v>
      </c>
      <c r="I347" s="97">
        <f t="shared" ref="I347:AE347" si="87">I345*$F$15</f>
        <v>99.846754242949245</v>
      </c>
      <c r="J347" s="97">
        <f t="shared" si="87"/>
        <v>175.82700647533991</v>
      </c>
      <c r="K347" s="97">
        <f t="shared" si="87"/>
        <v>249.17120748617586</v>
      </c>
      <c r="L347" s="97">
        <f t="shared" si="87"/>
        <v>319.12963843471948</v>
      </c>
      <c r="M347" s="97">
        <f t="shared" si="87"/>
        <v>382.70987373670255</v>
      </c>
      <c r="N347" s="97">
        <f t="shared" si="87"/>
        <v>439.19361578719543</v>
      </c>
      <c r="O347" s="97">
        <f t="shared" si="87"/>
        <v>488.01659501995988</v>
      </c>
      <c r="P347" s="97">
        <f t="shared" si="87"/>
        <v>528.30195512105979</v>
      </c>
      <c r="Q347" s="97">
        <f t="shared" si="87"/>
        <v>558.84600515180239</v>
      </c>
      <c r="R347" s="97">
        <f t="shared" si="87"/>
        <v>579.55834249916779</v>
      </c>
      <c r="S347" s="97">
        <f t="shared" si="87"/>
        <v>589.95882674138602</v>
      </c>
      <c r="T347" s="97">
        <f t="shared" si="87"/>
        <v>589.95882674138602</v>
      </c>
      <c r="U347" s="97">
        <f t="shared" si="87"/>
        <v>579.55834249916779</v>
      </c>
      <c r="V347" s="97">
        <f t="shared" si="87"/>
        <v>558.84600515180239</v>
      </c>
      <c r="W347" s="97">
        <f t="shared" si="87"/>
        <v>528.30195512105979</v>
      </c>
      <c r="X347" s="97">
        <f t="shared" si="87"/>
        <v>488.01659501995988</v>
      </c>
      <c r="Y347" s="97">
        <f t="shared" si="87"/>
        <v>439.19361578719543</v>
      </c>
      <c r="Z347" s="97">
        <f t="shared" si="87"/>
        <v>382.70987373670255</v>
      </c>
      <c r="AA347" s="97">
        <f t="shared" si="87"/>
        <v>319.12963843471948</v>
      </c>
      <c r="AB347" s="97">
        <f t="shared" si="87"/>
        <v>249.17120748617586</v>
      </c>
      <c r="AC347" s="97">
        <f t="shared" si="87"/>
        <v>175.82700647533991</v>
      </c>
      <c r="AD347" s="97">
        <f t="shared" si="87"/>
        <v>99.846754242949245</v>
      </c>
      <c r="AE347" s="97">
        <f t="shared" si="87"/>
        <v>26.460804924674886</v>
      </c>
      <c r="AF347" s="28"/>
      <c r="AG347" s="11"/>
    </row>
    <row r="348" spans="1:33">
      <c r="B348" s="24" t="s">
        <v>938</v>
      </c>
      <c r="C348" s="14" t="s">
        <v>897</v>
      </c>
      <c r="D348" s="24" t="s">
        <v>978</v>
      </c>
      <c r="I348" s="24"/>
      <c r="AF348" s="28"/>
      <c r="AG348" s="11"/>
    </row>
    <row r="349" spans="1:33">
      <c r="A349" s="20" t="s">
        <v>896</v>
      </c>
      <c r="B349" s="11"/>
      <c r="C349" s="11"/>
      <c r="E349" s="14" t="s">
        <v>563</v>
      </c>
      <c r="F349" s="31">
        <f>$F$15</f>
        <v>0.7</v>
      </c>
      <c r="G349" s="19">
        <f>SUM(H349:AE349)/48</f>
        <v>175.49075700940691</v>
      </c>
      <c r="H349" s="2">
        <f>H347*(1-($F$16+$F$13)*$H$263)</f>
        <v>25.11753942541684</v>
      </c>
      <c r="I349" s="2">
        <f t="shared" ref="I349:AE349" si="88">I347*(1-($F$16+$F$13)*$H$263)</f>
        <v>94.778098902748994</v>
      </c>
      <c r="J349" s="2">
        <f t="shared" si="88"/>
        <v>166.9012631992575</v>
      </c>
      <c r="K349" s="2">
        <f t="shared" si="88"/>
        <v>236.52219369474221</v>
      </c>
      <c r="L349" s="2">
        <f t="shared" si="88"/>
        <v>302.9292305363071</v>
      </c>
      <c r="M349" s="2">
        <f t="shared" si="88"/>
        <v>363.28185667224312</v>
      </c>
      <c r="N349" s="2">
        <f t="shared" si="88"/>
        <v>416.89823840692543</v>
      </c>
      <c r="O349" s="2">
        <f t="shared" si="88"/>
        <v>463.24275095052246</v>
      </c>
      <c r="P349" s="2">
        <f t="shared" si="88"/>
        <v>501.48305102782342</v>
      </c>
      <c r="Q349" s="2">
        <f t="shared" si="88"/>
        <v>530.47655228536348</v>
      </c>
      <c r="R349" s="2">
        <f t="shared" si="88"/>
        <v>550.1374413397948</v>
      </c>
      <c r="S349" s="2">
        <f t="shared" si="88"/>
        <v>560.00995178462028</v>
      </c>
      <c r="T349" s="2">
        <f t="shared" si="88"/>
        <v>560.00995178462028</v>
      </c>
      <c r="U349" s="2">
        <f t="shared" si="88"/>
        <v>550.1374413397948</v>
      </c>
      <c r="V349" s="2">
        <f t="shared" si="88"/>
        <v>530.47655228536348</v>
      </c>
      <c r="W349" s="2">
        <f t="shared" si="88"/>
        <v>501.48305102782342</v>
      </c>
      <c r="X349" s="2">
        <f t="shared" si="88"/>
        <v>463.24275095052246</v>
      </c>
      <c r="Y349" s="2">
        <f t="shared" si="88"/>
        <v>416.89823840692543</v>
      </c>
      <c r="Z349" s="2">
        <f t="shared" si="88"/>
        <v>363.28185667224312</v>
      </c>
      <c r="AA349" s="2">
        <f t="shared" si="88"/>
        <v>302.9292305363071</v>
      </c>
      <c r="AB349" s="2">
        <f t="shared" si="88"/>
        <v>236.52219369474221</v>
      </c>
      <c r="AC349" s="2">
        <f t="shared" si="88"/>
        <v>166.9012631992575</v>
      </c>
      <c r="AD349" s="2">
        <f t="shared" si="88"/>
        <v>94.778098902748994</v>
      </c>
      <c r="AE349" s="2">
        <f t="shared" si="88"/>
        <v>25.11753942541684</v>
      </c>
      <c r="AF349" s="28"/>
      <c r="AG349" s="11"/>
    </row>
    <row r="350" spans="1:33">
      <c r="A350" s="3"/>
      <c r="B350" s="5" t="s">
        <v>1035</v>
      </c>
      <c r="C350" s="11"/>
      <c r="D350" t="s">
        <v>955</v>
      </c>
      <c r="F350" s="27"/>
      <c r="G350" s="2"/>
      <c r="H350" s="2" t="s">
        <v>898</v>
      </c>
      <c r="I350" s="2"/>
      <c r="J350" s="2" t="s">
        <v>899</v>
      </c>
      <c r="K350" s="2"/>
      <c r="L350" t="s">
        <v>1036</v>
      </c>
      <c r="M350" s="2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11"/>
    </row>
    <row r="351" spans="1:33">
      <c r="A351" t="s">
        <v>834</v>
      </c>
      <c r="B351" s="5"/>
      <c r="C351" s="11"/>
      <c r="D351" s="5" t="s">
        <v>952</v>
      </c>
      <c r="F351" t="s">
        <v>249</v>
      </c>
      <c r="G351" s="97">
        <f>SUM(H351:AE351)/48</f>
        <v>9.2010807759545479</v>
      </c>
      <c r="H351" s="97">
        <f t="shared" ref="H351:AE351" si="89">H347*$H263*$F$16</f>
        <v>1.3169269600569056</v>
      </c>
      <c r="I351" s="97">
        <f t="shared" si="89"/>
        <v>4.9692699413727928</v>
      </c>
      <c r="J351" s="97">
        <f t="shared" si="89"/>
        <v>8.7507287020415614</v>
      </c>
      <c r="K351" s="97">
        <f t="shared" si="89"/>
        <v>12.400993913170227</v>
      </c>
      <c r="L351" s="97">
        <f t="shared" si="89"/>
        <v>15.882752841580771</v>
      </c>
      <c r="M351" s="97">
        <f t="shared" si="89"/>
        <v>19.047075553391554</v>
      </c>
      <c r="N351" s="97">
        <f t="shared" si="89"/>
        <v>21.858213117911728</v>
      </c>
      <c r="O351" s="97">
        <f t="shared" si="89"/>
        <v>24.288082421017059</v>
      </c>
      <c r="P351" s="97">
        <f t="shared" si="89"/>
        <v>26.293043228663056</v>
      </c>
      <c r="Q351" s="97">
        <f t="shared" si="89"/>
        <v>27.813189084744039</v>
      </c>
      <c r="R351" s="97">
        <f t="shared" si="89"/>
        <v>28.844020744483288</v>
      </c>
      <c r="S351" s="97">
        <f t="shared" si="89"/>
        <v>29.361642114476155</v>
      </c>
      <c r="T351" s="97">
        <f t="shared" si="89"/>
        <v>29.361642114476155</v>
      </c>
      <c r="U351" s="97">
        <f t="shared" si="89"/>
        <v>28.844020744483288</v>
      </c>
      <c r="V351" s="97">
        <f t="shared" si="89"/>
        <v>27.813189084744039</v>
      </c>
      <c r="W351" s="97">
        <f t="shared" si="89"/>
        <v>26.293043228663056</v>
      </c>
      <c r="X351" s="97">
        <f t="shared" si="89"/>
        <v>24.288082421017059</v>
      </c>
      <c r="Y351" s="97">
        <f t="shared" si="89"/>
        <v>21.858213117911728</v>
      </c>
      <c r="Z351" s="97">
        <f t="shared" si="89"/>
        <v>19.047075553391554</v>
      </c>
      <c r="AA351" s="97">
        <f t="shared" si="89"/>
        <v>15.882752841580771</v>
      </c>
      <c r="AB351" s="97">
        <f t="shared" si="89"/>
        <v>12.400993913170227</v>
      </c>
      <c r="AC351" s="97">
        <f t="shared" si="89"/>
        <v>8.7507287020415614</v>
      </c>
      <c r="AD351" s="97">
        <f t="shared" si="89"/>
        <v>4.9692699413727928</v>
      </c>
      <c r="AE351" s="97">
        <f t="shared" si="89"/>
        <v>1.3169269600569056</v>
      </c>
      <c r="AF351" s="28"/>
      <c r="AG351" s="11"/>
    </row>
    <row r="352" spans="1:33">
      <c r="A352" t="s">
        <v>930</v>
      </c>
      <c r="B352" s="5"/>
      <c r="C352" s="11"/>
      <c r="D352" s="5" t="s">
        <v>250</v>
      </c>
      <c r="G352" s="97">
        <f>SUM(H352:AE352)/48</f>
        <v>6.4407565431681819</v>
      </c>
      <c r="H352" s="97">
        <f>H351*$F$15</f>
        <v>0.92184887203983379</v>
      </c>
      <c r="I352" s="97">
        <f t="shared" ref="I352:AE352" si="90">I351*$F$15</f>
        <v>3.4784889589609547</v>
      </c>
      <c r="J352" s="97">
        <f t="shared" si="90"/>
        <v>6.125510091429093</v>
      </c>
      <c r="K352" s="97">
        <f t="shared" si="90"/>
        <v>8.6806957392191588</v>
      </c>
      <c r="L352" s="97">
        <f t="shared" si="90"/>
        <v>11.11792698910654</v>
      </c>
      <c r="M352" s="97">
        <f t="shared" si="90"/>
        <v>13.332952887374088</v>
      </c>
      <c r="N352" s="97">
        <f t="shared" si="90"/>
        <v>15.300749182538208</v>
      </c>
      <c r="O352" s="97">
        <f t="shared" si="90"/>
        <v>17.001657694711941</v>
      </c>
      <c r="P352" s="97">
        <f t="shared" si="90"/>
        <v>18.405130260064137</v>
      </c>
      <c r="Q352" s="97">
        <f t="shared" si="90"/>
        <v>19.469232359320827</v>
      </c>
      <c r="R352" s="97">
        <f t="shared" si="90"/>
        <v>20.1908145211383</v>
      </c>
      <c r="S352" s="97">
        <f t="shared" si="90"/>
        <v>20.553149480133307</v>
      </c>
      <c r="T352" s="97">
        <f t="shared" si="90"/>
        <v>20.553149480133307</v>
      </c>
      <c r="U352" s="97">
        <f t="shared" si="90"/>
        <v>20.1908145211383</v>
      </c>
      <c r="V352" s="97">
        <f t="shared" si="90"/>
        <v>19.469232359320827</v>
      </c>
      <c r="W352" s="97">
        <f t="shared" si="90"/>
        <v>18.405130260064137</v>
      </c>
      <c r="X352" s="97">
        <f t="shared" si="90"/>
        <v>17.001657694711941</v>
      </c>
      <c r="Y352" s="97">
        <f t="shared" si="90"/>
        <v>15.300749182538208</v>
      </c>
      <c r="Z352" s="97">
        <f t="shared" si="90"/>
        <v>13.332952887374088</v>
      </c>
      <c r="AA352" s="97">
        <f t="shared" si="90"/>
        <v>11.11792698910654</v>
      </c>
      <c r="AB352" s="97">
        <f t="shared" si="90"/>
        <v>8.6806957392191588</v>
      </c>
      <c r="AC352" s="97">
        <f t="shared" si="90"/>
        <v>6.125510091429093</v>
      </c>
      <c r="AD352" s="97">
        <f t="shared" si="90"/>
        <v>3.4784889589609547</v>
      </c>
      <c r="AE352" s="97">
        <f t="shared" si="90"/>
        <v>0.92184887203983379</v>
      </c>
      <c r="AF352" s="28"/>
      <c r="AG352" s="11"/>
    </row>
    <row r="353" spans="1:33">
      <c r="A353" s="20" t="s">
        <v>835</v>
      </c>
      <c r="B353" s="5"/>
      <c r="C353" s="11"/>
      <c r="G353" s="19">
        <f>SUM(H353:AE353)/48</f>
        <v>6.1137957391341908</v>
      </c>
      <c r="H353" s="24">
        <f>H352*(1-($F$16+$F$13)*$H$263)</f>
        <v>0.87505181545497002</v>
      </c>
      <c r="I353" s="24">
        <f t="shared" ref="I353:AE353" si="91">I352*(1-($F$16+$F$13)*$H$263)</f>
        <v>3.3019057362878939</v>
      </c>
      <c r="J353" s="24">
        <f t="shared" si="91"/>
        <v>5.8145525678542578</v>
      </c>
      <c r="K353" s="24">
        <f t="shared" si="91"/>
        <v>8.2400258832097553</v>
      </c>
      <c r="L353" s="24">
        <f t="shared" si="91"/>
        <v>10.553532678719922</v>
      </c>
      <c r="M353" s="24">
        <f t="shared" si="91"/>
        <v>12.656114232320869</v>
      </c>
      <c r="N353" s="24">
        <f t="shared" si="91"/>
        <v>14.524016632330012</v>
      </c>
      <c r="O353" s="24">
        <f t="shared" si="91"/>
        <v>16.138579633537571</v>
      </c>
      <c r="P353" s="24">
        <f t="shared" si="91"/>
        <v>17.470805829719993</v>
      </c>
      <c r="Q353" s="24">
        <f t="shared" si="91"/>
        <v>18.480889480116623</v>
      </c>
      <c r="R353" s="24">
        <f t="shared" si="91"/>
        <v>19.165840994241833</v>
      </c>
      <c r="S353" s="24">
        <f t="shared" si="91"/>
        <v>19.509782255426867</v>
      </c>
      <c r="T353" s="24">
        <f t="shared" si="91"/>
        <v>19.509782255426867</v>
      </c>
      <c r="U353" s="24">
        <f t="shared" si="91"/>
        <v>19.165840994241833</v>
      </c>
      <c r="V353" s="24">
        <f t="shared" si="91"/>
        <v>18.480889480116623</v>
      </c>
      <c r="W353" s="24">
        <f t="shared" si="91"/>
        <v>17.470805829719993</v>
      </c>
      <c r="X353" s="24">
        <f t="shared" si="91"/>
        <v>16.138579633537571</v>
      </c>
      <c r="Y353" s="24">
        <f t="shared" si="91"/>
        <v>14.524016632330012</v>
      </c>
      <c r="Z353" s="24">
        <f t="shared" si="91"/>
        <v>12.656114232320869</v>
      </c>
      <c r="AA353" s="24">
        <f t="shared" si="91"/>
        <v>10.553532678719922</v>
      </c>
      <c r="AB353" s="24">
        <f t="shared" si="91"/>
        <v>8.2400258832097553</v>
      </c>
      <c r="AC353" s="24">
        <f t="shared" si="91"/>
        <v>5.8145525678542578</v>
      </c>
      <c r="AD353" s="24">
        <f t="shared" si="91"/>
        <v>3.3019057362878939</v>
      </c>
      <c r="AE353" s="24">
        <f t="shared" si="91"/>
        <v>0.87505181545497002</v>
      </c>
      <c r="AF353" s="28"/>
      <c r="AG353" s="11"/>
    </row>
    <row r="354" spans="1:33">
      <c r="A354" s="20"/>
      <c r="B354" s="24" t="s">
        <v>979</v>
      </c>
      <c r="C354" s="11"/>
      <c r="D354" t="s">
        <v>955</v>
      </c>
      <c r="G354" s="27"/>
      <c r="H354" s="24" t="s">
        <v>900</v>
      </c>
      <c r="K354" t="s">
        <v>853</v>
      </c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8"/>
      <c r="AG354" s="11"/>
    </row>
    <row r="355" spans="1:33">
      <c r="A355" s="100" t="s">
        <v>836</v>
      </c>
      <c r="B355" s="5"/>
      <c r="C355" s="11"/>
      <c r="G355" s="19">
        <f>SUM(H355:AE355)/48</f>
        <v>0.21299411420199052</v>
      </c>
      <c r="H355" s="2">
        <f>H353^2/H349</f>
        <v>3.0485298211822411E-2</v>
      </c>
      <c r="I355" s="2">
        <f t="shared" ref="I355:AE355" si="92">I353^2/I349</f>
        <v>0.11503270921817017</v>
      </c>
      <c r="J355" s="2">
        <f t="shared" si="92"/>
        <v>0.20256899747952864</v>
      </c>
      <c r="K355" s="2">
        <f t="shared" si="92"/>
        <v>0.2870683105687602</v>
      </c>
      <c r="L355" s="2">
        <f t="shared" si="92"/>
        <v>0.36766690293844179</v>
      </c>
      <c r="M355" s="2">
        <f t="shared" si="92"/>
        <v>0.44091722314133763</v>
      </c>
      <c r="N355" s="2">
        <f t="shared" si="92"/>
        <v>0.50599172580407481</v>
      </c>
      <c r="O355" s="2">
        <f t="shared" si="92"/>
        <v>0.56224032012073932</v>
      </c>
      <c r="P355" s="2">
        <f t="shared" si="92"/>
        <v>0.60865278639864395</v>
      </c>
      <c r="Q355" s="2">
        <f t="shared" si="92"/>
        <v>0.64384236118424354</v>
      </c>
      <c r="R355" s="2">
        <f t="shared" si="92"/>
        <v>0.66770489229377528</v>
      </c>
      <c r="S355" s="2">
        <f t="shared" si="92"/>
        <v>0.67968721348823435</v>
      </c>
      <c r="T355" s="2">
        <f t="shared" si="92"/>
        <v>0.67968721348823435</v>
      </c>
      <c r="U355" s="2">
        <f t="shared" si="92"/>
        <v>0.66770489229377528</v>
      </c>
      <c r="V355" s="2">
        <f t="shared" si="92"/>
        <v>0.64384236118424354</v>
      </c>
      <c r="W355" s="2">
        <f t="shared" si="92"/>
        <v>0.60865278639864395</v>
      </c>
      <c r="X355" s="2">
        <f t="shared" si="92"/>
        <v>0.56224032012073932</v>
      </c>
      <c r="Y355" s="2">
        <f t="shared" si="92"/>
        <v>0.50599172580407481</v>
      </c>
      <c r="Z355" s="2">
        <f t="shared" si="92"/>
        <v>0.44091722314133763</v>
      </c>
      <c r="AA355" s="2">
        <f t="shared" si="92"/>
        <v>0.36766690293844179</v>
      </c>
      <c r="AB355" s="2">
        <f t="shared" si="92"/>
        <v>0.2870683105687602</v>
      </c>
      <c r="AC355" s="2">
        <f t="shared" si="92"/>
        <v>0.20256899747952864</v>
      </c>
      <c r="AD355" s="2">
        <f t="shared" si="92"/>
        <v>0.11503270921817017</v>
      </c>
      <c r="AE355" s="2">
        <f t="shared" si="92"/>
        <v>3.0485298211822411E-2</v>
      </c>
      <c r="AF355" s="28"/>
      <c r="AG355" s="11"/>
    </row>
    <row r="356" spans="1:33">
      <c r="A356" s="100"/>
      <c r="B356" s="24" t="s">
        <v>980</v>
      </c>
      <c r="C356" s="11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8"/>
      <c r="AG356" s="11"/>
    </row>
    <row r="357" spans="1:33">
      <c r="A357" s="20" t="s">
        <v>901</v>
      </c>
      <c r="B357" s="11"/>
      <c r="C357" s="11"/>
      <c r="D357" s="24"/>
      <c r="E357" s="27"/>
      <c r="F357" s="6"/>
      <c r="G357" s="19">
        <f>$M$9*($F$7+273)^4*(1-$H$263)</f>
        <v>264.77650940590894</v>
      </c>
      <c r="H357" s="2">
        <f>$M$9*($F$7+273)^4*(1-$H$263)</f>
        <v>264.77650940590894</v>
      </c>
      <c r="I357" s="2">
        <f t="shared" ref="I357:AE357" si="93">$M$9*($F$7+273)^4*(1-$H$263)</f>
        <v>264.77650940590894</v>
      </c>
      <c r="J357" s="2">
        <f t="shared" si="93"/>
        <v>264.77650940590894</v>
      </c>
      <c r="K357" s="2">
        <f t="shared" si="93"/>
        <v>264.77650940590894</v>
      </c>
      <c r="L357" s="2">
        <f t="shared" si="93"/>
        <v>264.77650940590894</v>
      </c>
      <c r="M357" s="2">
        <f t="shared" si="93"/>
        <v>264.77650940590894</v>
      </c>
      <c r="N357" s="2">
        <f t="shared" si="93"/>
        <v>264.77650940590894</v>
      </c>
      <c r="O357" s="2">
        <f t="shared" si="93"/>
        <v>264.77650940590894</v>
      </c>
      <c r="P357" s="2">
        <f t="shared" si="93"/>
        <v>264.77650940590894</v>
      </c>
      <c r="Q357" s="2">
        <f t="shared" si="93"/>
        <v>264.77650940590894</v>
      </c>
      <c r="R357" s="2">
        <f t="shared" si="93"/>
        <v>264.77650940590894</v>
      </c>
      <c r="S357" s="2">
        <f t="shared" si="93"/>
        <v>264.77650940590894</v>
      </c>
      <c r="T357" s="2">
        <f t="shared" si="93"/>
        <v>264.77650940590894</v>
      </c>
      <c r="U357" s="2">
        <f t="shared" si="93"/>
        <v>264.77650940590894</v>
      </c>
      <c r="V357" s="2">
        <f t="shared" si="93"/>
        <v>264.77650940590894</v>
      </c>
      <c r="W357" s="2">
        <f t="shared" si="93"/>
        <v>264.77650940590894</v>
      </c>
      <c r="X357" s="2">
        <f t="shared" si="93"/>
        <v>264.77650940590894</v>
      </c>
      <c r="Y357" s="2">
        <f t="shared" si="93"/>
        <v>264.77650940590894</v>
      </c>
      <c r="Z357" s="2">
        <f t="shared" si="93"/>
        <v>264.77650940590894</v>
      </c>
      <c r="AA357" s="2">
        <f t="shared" si="93"/>
        <v>264.77650940590894</v>
      </c>
      <c r="AB357" s="2">
        <f t="shared" si="93"/>
        <v>264.77650940590894</v>
      </c>
      <c r="AC357" s="2">
        <f t="shared" si="93"/>
        <v>264.77650940590894</v>
      </c>
      <c r="AD357" s="2">
        <f t="shared" si="93"/>
        <v>264.77650940590894</v>
      </c>
      <c r="AE357" s="2">
        <f t="shared" si="93"/>
        <v>264.77650940590894</v>
      </c>
      <c r="AF357" s="28"/>
      <c r="AG357" s="11"/>
    </row>
    <row r="358" spans="1:33">
      <c r="A358" s="14"/>
      <c r="B358" s="5" t="s">
        <v>1018</v>
      </c>
      <c r="E358" s="12"/>
      <c r="F358" s="6"/>
      <c r="G358" s="2"/>
      <c r="H358" s="2" t="s">
        <v>969</v>
      </c>
      <c r="J358" s="10"/>
      <c r="K358" s="9"/>
      <c r="AF358" s="2"/>
    </row>
    <row r="359" spans="1:33">
      <c r="A359" s="20" t="s">
        <v>914</v>
      </c>
      <c r="B359" s="11"/>
      <c r="C359" s="11"/>
      <c r="D359" s="11"/>
      <c r="E359" s="27"/>
      <c r="F359" s="6"/>
      <c r="G359" s="19">
        <f>SUM(H359:AE359)/24</f>
        <v>12.551783676120003</v>
      </c>
      <c r="H359" s="24">
        <f t="shared" ref="H359:AE359" si="94">$M$9*($F$9+273)^4*$F$11*$H$18</f>
        <v>12.551783676119999</v>
      </c>
      <c r="I359" s="24">
        <f t="shared" si="94"/>
        <v>12.551783676119999</v>
      </c>
      <c r="J359" s="24">
        <f t="shared" si="94"/>
        <v>12.551783676119999</v>
      </c>
      <c r="K359" s="24">
        <f t="shared" si="94"/>
        <v>12.551783676119999</v>
      </c>
      <c r="L359" s="24">
        <f t="shared" si="94"/>
        <v>12.551783676119999</v>
      </c>
      <c r="M359" s="24">
        <f t="shared" si="94"/>
        <v>12.551783676119999</v>
      </c>
      <c r="N359" s="24">
        <f t="shared" si="94"/>
        <v>12.551783676119999</v>
      </c>
      <c r="O359" s="24">
        <f t="shared" si="94"/>
        <v>12.551783676119999</v>
      </c>
      <c r="P359" s="24">
        <f t="shared" si="94"/>
        <v>12.551783676119999</v>
      </c>
      <c r="Q359" s="24">
        <f t="shared" si="94"/>
        <v>12.551783676119999</v>
      </c>
      <c r="R359" s="24">
        <f t="shared" si="94"/>
        <v>12.551783676119999</v>
      </c>
      <c r="S359" s="24">
        <f t="shared" si="94"/>
        <v>12.551783676119999</v>
      </c>
      <c r="T359" s="24">
        <f t="shared" si="94"/>
        <v>12.551783676119999</v>
      </c>
      <c r="U359" s="24">
        <f t="shared" si="94"/>
        <v>12.551783676119999</v>
      </c>
      <c r="V359" s="24">
        <f t="shared" si="94"/>
        <v>12.551783676119999</v>
      </c>
      <c r="W359" s="24">
        <f t="shared" si="94"/>
        <v>12.551783676119999</v>
      </c>
      <c r="X359" s="24">
        <f t="shared" si="94"/>
        <v>12.551783676119999</v>
      </c>
      <c r="Y359" s="24">
        <f t="shared" si="94"/>
        <v>12.551783676119999</v>
      </c>
      <c r="Z359" s="24">
        <f t="shared" si="94"/>
        <v>12.551783676119999</v>
      </c>
      <c r="AA359" s="24">
        <f t="shared" si="94"/>
        <v>12.551783676119999</v>
      </c>
      <c r="AB359" s="24">
        <f t="shared" si="94"/>
        <v>12.551783676119999</v>
      </c>
      <c r="AC359" s="24">
        <f t="shared" si="94"/>
        <v>12.551783676119999</v>
      </c>
      <c r="AD359" s="24">
        <f t="shared" si="94"/>
        <v>12.551783676119999</v>
      </c>
      <c r="AE359" s="24">
        <f t="shared" si="94"/>
        <v>12.551783676119999</v>
      </c>
      <c r="AF359" s="28"/>
      <c r="AG359" s="11"/>
    </row>
    <row r="360" spans="1:33">
      <c r="A360" s="20"/>
      <c r="B360" s="5" t="s">
        <v>272</v>
      </c>
      <c r="C360" s="11"/>
      <c r="D360" t="s">
        <v>743</v>
      </c>
      <c r="E360" s="27"/>
      <c r="F360" s="6"/>
      <c r="G360" s="28"/>
      <c r="H360" t="s">
        <v>717</v>
      </c>
      <c r="I360" s="29"/>
      <c r="J360" s="11"/>
      <c r="K360" s="2" t="s">
        <v>273</v>
      </c>
      <c r="L360" s="11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11"/>
    </row>
    <row r="361" spans="1:33">
      <c r="A361" s="20"/>
      <c r="B361" s="27" t="s">
        <v>925</v>
      </c>
      <c r="C361" s="11" t="s">
        <v>266</v>
      </c>
      <c r="E361" s="27"/>
      <c r="F361" s="6"/>
      <c r="G361" s="28"/>
      <c r="I361" s="29"/>
      <c r="J361" s="11"/>
      <c r="K361" s="2"/>
      <c r="L361" s="11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11"/>
    </row>
    <row r="362" spans="1:33">
      <c r="A362" s="20"/>
      <c r="B362" s="14"/>
      <c r="C362" t="s">
        <v>274</v>
      </c>
      <c r="E362" s="27"/>
      <c r="F362" s="6"/>
      <c r="G362" s="28"/>
      <c r="I362" s="29"/>
      <c r="J362" s="11"/>
      <c r="K362" s="2"/>
      <c r="L362" s="11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11"/>
    </row>
    <row r="363" spans="1:33">
      <c r="A363" s="20"/>
      <c r="B363" s="16" t="s">
        <v>334</v>
      </c>
      <c r="C363" s="11"/>
      <c r="D363" s="11"/>
      <c r="E363" s="21"/>
      <c r="F363" s="21"/>
      <c r="G363" s="82">
        <f>G343+G349+G353+G355+G357+G359</f>
        <v>474.99349935686644</v>
      </c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8"/>
      <c r="AG363" s="11"/>
    </row>
    <row r="364" spans="1:33">
      <c r="A364" s="20"/>
      <c r="B364" s="16" t="s">
        <v>730</v>
      </c>
      <c r="C364" s="11"/>
      <c r="D364" s="11"/>
      <c r="E364" s="21"/>
      <c r="F364" s="21"/>
      <c r="G364" s="82">
        <f>G340-G363</f>
        <v>15.242746496249538</v>
      </c>
      <c r="H364" s="24"/>
      <c r="I364" s="32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8"/>
      <c r="AG364" s="11"/>
    </row>
    <row r="365" spans="1:33">
      <c r="A365" s="20"/>
      <c r="B365" s="16"/>
      <c r="G365" s="32"/>
      <c r="H365" s="33"/>
      <c r="I365" s="8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3">
      <c r="A366" s="20"/>
      <c r="B366" s="16"/>
      <c r="G366" s="32"/>
      <c r="H366" s="3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3" ht="18.75">
      <c r="A367" s="85" t="s">
        <v>508</v>
      </c>
      <c r="B367" s="30" t="s">
        <v>609</v>
      </c>
      <c r="H367" s="4" t="s">
        <v>484</v>
      </c>
      <c r="I367" s="4" t="s">
        <v>486</v>
      </c>
      <c r="J367" s="4" t="s">
        <v>485</v>
      </c>
      <c r="K367" s="4" t="s">
        <v>487</v>
      </c>
      <c r="L367" s="4" t="s">
        <v>488</v>
      </c>
      <c r="M367" s="4" t="s">
        <v>489</v>
      </c>
      <c r="N367" s="4" t="s">
        <v>490</v>
      </c>
      <c r="O367" s="4" t="s">
        <v>491</v>
      </c>
      <c r="P367" s="4" t="s">
        <v>494</v>
      </c>
      <c r="Q367" s="4" t="s">
        <v>492</v>
      </c>
      <c r="R367" s="4" t="s">
        <v>495</v>
      </c>
      <c r="S367" s="4" t="s">
        <v>493</v>
      </c>
      <c r="T367" s="4" t="s">
        <v>515</v>
      </c>
      <c r="U367" s="4" t="s">
        <v>517</v>
      </c>
      <c r="V367" s="4" t="s">
        <v>518</v>
      </c>
      <c r="W367" s="4" t="s">
        <v>516</v>
      </c>
      <c r="X367" s="4" t="s">
        <v>519</v>
      </c>
      <c r="Y367" s="4" t="s">
        <v>520</v>
      </c>
      <c r="Z367" s="4" t="s">
        <v>521</v>
      </c>
      <c r="AA367" s="4" t="s">
        <v>522</v>
      </c>
      <c r="AB367" s="4" t="s">
        <v>523</v>
      </c>
      <c r="AC367" s="4" t="s">
        <v>524</v>
      </c>
      <c r="AD367" s="4" t="s">
        <v>525</v>
      </c>
      <c r="AE367" s="4" t="s">
        <v>526</v>
      </c>
      <c r="AF367" s="2"/>
    </row>
    <row r="368" spans="1:33">
      <c r="A368" s="3" t="s">
        <v>722</v>
      </c>
      <c r="G368" t="s">
        <v>535</v>
      </c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2"/>
    </row>
    <row r="369" spans="1:33">
      <c r="A369" t="s">
        <v>561</v>
      </c>
      <c r="B369" s="11"/>
      <c r="C369" s="11"/>
      <c r="D369" s="5" t="s">
        <v>981</v>
      </c>
      <c r="E369" s="12"/>
      <c r="F369" s="6"/>
      <c r="G369" s="2">
        <f>SUM(H369:AE369)/48</f>
        <v>250.04350671045813</v>
      </c>
      <c r="H369" s="2">
        <f>H$65</f>
        <v>51.522479709800514</v>
      </c>
      <c r="I369" s="2">
        <f t="shared" ref="I369:AE369" si="95">I$65</f>
        <v>153.3263915887585</v>
      </c>
      <c r="J369" s="2">
        <f t="shared" si="95"/>
        <v>252.63397595571755</v>
      </c>
      <c r="K369" s="2">
        <f t="shared" si="95"/>
        <v>347.34864317680297</v>
      </c>
      <c r="L369" s="2">
        <f t="shared" si="95"/>
        <v>436.24349392443469</v>
      </c>
      <c r="M369" s="2">
        <f t="shared" si="95"/>
        <v>517.61265992077585</v>
      </c>
      <c r="N369" s="2">
        <f t="shared" si="95"/>
        <v>590.23085248800987</v>
      </c>
      <c r="O369" s="2">
        <f t="shared" si="95"/>
        <v>652.69533334091648</v>
      </c>
      <c r="P369" s="2">
        <f t="shared" si="95"/>
        <v>703.8525291259931</v>
      </c>
      <c r="Q369" s="2">
        <f t="shared" si="95"/>
        <v>743.120337188608</v>
      </c>
      <c r="R369" s="2">
        <f t="shared" si="95"/>
        <v>769.5515376026317</v>
      </c>
      <c r="S369" s="2">
        <f t="shared" si="95"/>
        <v>782.90592702854622</v>
      </c>
      <c r="T369" s="2">
        <f t="shared" si="95"/>
        <v>782.90592702854622</v>
      </c>
      <c r="U369" s="2">
        <f t="shared" si="95"/>
        <v>769.5515376026317</v>
      </c>
      <c r="V369" s="2">
        <f t="shared" si="95"/>
        <v>743.120337188608</v>
      </c>
      <c r="W369" s="2">
        <f t="shared" si="95"/>
        <v>703.8525291259931</v>
      </c>
      <c r="X369" s="2">
        <f t="shared" si="95"/>
        <v>652.69533334091648</v>
      </c>
      <c r="Y369" s="2">
        <f t="shared" si="95"/>
        <v>590.23085248800987</v>
      </c>
      <c r="Z369" s="2">
        <f t="shared" si="95"/>
        <v>517.61265992077585</v>
      </c>
      <c r="AA369" s="2">
        <f t="shared" si="95"/>
        <v>436.24349392443469</v>
      </c>
      <c r="AB369" s="2">
        <f t="shared" si="95"/>
        <v>347.34864317680297</v>
      </c>
      <c r="AC369" s="2">
        <f t="shared" si="95"/>
        <v>252.63397595571755</v>
      </c>
      <c r="AD369" s="2">
        <f t="shared" si="95"/>
        <v>153.3263915887585</v>
      </c>
      <c r="AE369" s="2">
        <f t="shared" si="95"/>
        <v>51.522479709800514</v>
      </c>
      <c r="AF369" s="2"/>
    </row>
    <row r="370" spans="1:33">
      <c r="A370" s="20" t="s">
        <v>1105</v>
      </c>
      <c r="B370" s="11"/>
      <c r="C370" s="11"/>
      <c r="D370" t="s">
        <v>982</v>
      </c>
      <c r="E370" s="12"/>
      <c r="F370" s="18"/>
      <c r="G370" s="19">
        <f>SUM(H370:AE370)/48</f>
        <v>25.004350671045817</v>
      </c>
      <c r="H370" s="2">
        <f>H$65*$Q$20</f>
        <v>5.1522479709800519</v>
      </c>
      <c r="I370" s="2">
        <f t="shared" ref="I370:AE370" si="96">I$65*$Q$20</f>
        <v>15.33263915887585</v>
      </c>
      <c r="J370" s="2">
        <f t="shared" si="96"/>
        <v>25.263397595571757</v>
      </c>
      <c r="K370" s="2">
        <f t="shared" si="96"/>
        <v>34.734864317680298</v>
      </c>
      <c r="L370" s="2">
        <f t="shared" si="96"/>
        <v>43.62434939244347</v>
      </c>
      <c r="M370" s="2">
        <f t="shared" si="96"/>
        <v>51.76126599207759</v>
      </c>
      <c r="N370" s="2">
        <f t="shared" si="96"/>
        <v>59.023085248800989</v>
      </c>
      <c r="O370" s="2">
        <f t="shared" si="96"/>
        <v>65.269533334091648</v>
      </c>
      <c r="P370" s="2">
        <f t="shared" si="96"/>
        <v>70.385252912599313</v>
      </c>
      <c r="Q370" s="2">
        <f t="shared" si="96"/>
        <v>74.312033718860803</v>
      </c>
      <c r="R370" s="2">
        <f t="shared" si="96"/>
        <v>76.955153760263173</v>
      </c>
      <c r="S370" s="2">
        <f t="shared" si="96"/>
        <v>78.290592702854624</v>
      </c>
      <c r="T370" s="2">
        <f t="shared" si="96"/>
        <v>78.290592702854624</v>
      </c>
      <c r="U370" s="2">
        <f t="shared" si="96"/>
        <v>76.955153760263173</v>
      </c>
      <c r="V370" s="2">
        <f t="shared" si="96"/>
        <v>74.312033718860803</v>
      </c>
      <c r="W370" s="2">
        <f t="shared" si="96"/>
        <v>70.385252912599313</v>
      </c>
      <c r="X370" s="2">
        <f t="shared" si="96"/>
        <v>65.269533334091648</v>
      </c>
      <c r="Y370" s="2">
        <f t="shared" si="96"/>
        <v>59.023085248800989</v>
      </c>
      <c r="Z370" s="2">
        <f t="shared" si="96"/>
        <v>51.76126599207759</v>
      </c>
      <c r="AA370" s="2">
        <f t="shared" si="96"/>
        <v>43.62434939244347</v>
      </c>
      <c r="AB370" s="2">
        <f t="shared" si="96"/>
        <v>34.734864317680298</v>
      </c>
      <c r="AC370" s="2">
        <f t="shared" si="96"/>
        <v>25.263397595571757</v>
      </c>
      <c r="AD370" s="2">
        <f t="shared" si="96"/>
        <v>15.33263915887585</v>
      </c>
      <c r="AE370" s="2">
        <f t="shared" si="96"/>
        <v>5.1522479709800519</v>
      </c>
      <c r="AF370" s="2"/>
    </row>
    <row r="371" spans="1:33">
      <c r="A371" s="20"/>
      <c r="B371" s="5" t="s">
        <v>984</v>
      </c>
      <c r="C371" s="11"/>
      <c r="D371" t="s">
        <v>770</v>
      </c>
      <c r="E371" s="12"/>
      <c r="F371" s="18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3">
      <c r="A372" s="20" t="s">
        <v>825</v>
      </c>
      <c r="D372" t="s">
        <v>983</v>
      </c>
      <c r="G372" s="19">
        <f>SUM(H372:AE372)/24</f>
        <v>340.45054939199986</v>
      </c>
      <c r="H372" s="2">
        <f>$Q$24</f>
        <v>340.45054939200003</v>
      </c>
      <c r="I372" s="2">
        <f t="shared" ref="I372:AE372" si="97">$Q$24</f>
        <v>340.45054939200003</v>
      </c>
      <c r="J372" s="2">
        <f t="shared" si="97"/>
        <v>340.45054939200003</v>
      </c>
      <c r="K372" s="2">
        <f t="shared" si="97"/>
        <v>340.45054939200003</v>
      </c>
      <c r="L372" s="2">
        <f t="shared" si="97"/>
        <v>340.45054939200003</v>
      </c>
      <c r="M372" s="2">
        <f t="shared" si="97"/>
        <v>340.45054939200003</v>
      </c>
      <c r="N372" s="2">
        <f t="shared" si="97"/>
        <v>340.45054939200003</v>
      </c>
      <c r="O372" s="2">
        <f t="shared" si="97"/>
        <v>340.45054939200003</v>
      </c>
      <c r="P372" s="2">
        <f t="shared" si="97"/>
        <v>340.45054939200003</v>
      </c>
      <c r="Q372" s="2">
        <f t="shared" si="97"/>
        <v>340.45054939200003</v>
      </c>
      <c r="R372" s="2">
        <f t="shared" si="97"/>
        <v>340.45054939200003</v>
      </c>
      <c r="S372" s="2">
        <f t="shared" si="97"/>
        <v>340.45054939200003</v>
      </c>
      <c r="T372" s="2">
        <f t="shared" si="97"/>
        <v>340.45054939200003</v>
      </c>
      <c r="U372" s="2">
        <f t="shared" si="97"/>
        <v>340.45054939200003</v>
      </c>
      <c r="V372" s="2">
        <f t="shared" si="97"/>
        <v>340.45054939200003</v>
      </c>
      <c r="W372" s="2">
        <f t="shared" si="97"/>
        <v>340.45054939200003</v>
      </c>
      <c r="X372" s="2">
        <f t="shared" si="97"/>
        <v>340.45054939200003</v>
      </c>
      <c r="Y372" s="2">
        <f t="shared" si="97"/>
        <v>340.45054939200003</v>
      </c>
      <c r="Z372" s="2">
        <f t="shared" si="97"/>
        <v>340.45054939200003</v>
      </c>
      <c r="AA372" s="2">
        <f t="shared" si="97"/>
        <v>340.45054939200003</v>
      </c>
      <c r="AB372" s="2">
        <f t="shared" si="97"/>
        <v>340.45054939200003</v>
      </c>
      <c r="AC372" s="2">
        <f t="shared" si="97"/>
        <v>340.45054939200003</v>
      </c>
      <c r="AD372" s="2">
        <f t="shared" si="97"/>
        <v>340.45054939200003</v>
      </c>
      <c r="AE372" s="2">
        <f t="shared" si="97"/>
        <v>340.45054939200003</v>
      </c>
      <c r="AF372" s="2"/>
    </row>
    <row r="373" spans="1:33">
      <c r="A373" s="20"/>
      <c r="B373" s="16" t="s">
        <v>720</v>
      </c>
      <c r="G373" s="32">
        <f>G370+G372</f>
        <v>365.45490006304567</v>
      </c>
      <c r="H373" s="3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3">
      <c r="A374" s="39" t="s">
        <v>508</v>
      </c>
      <c r="B374" s="16"/>
      <c r="G374" s="32"/>
      <c r="H374" s="3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3">
      <c r="A375" s="3" t="s">
        <v>324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3" s="27" customFormat="1">
      <c r="A376" s="27" t="s">
        <v>1031</v>
      </c>
      <c r="G376" s="55"/>
      <c r="H376" s="101">
        <f ca="1">Tabelle3!D$22</f>
        <v>0.73440768932856404</v>
      </c>
      <c r="I376" s="101">
        <f ca="1">Tabelle3!E$22</f>
        <v>0.36902905301606975</v>
      </c>
      <c r="J376" s="101">
        <f ca="1">Tabelle3!F$22</f>
        <v>0.24126282328253615</v>
      </c>
      <c r="K376" s="101">
        <f ca="1">Tabelle3!G$22</f>
        <v>0.1835067110858897</v>
      </c>
      <c r="L376" s="101">
        <f ca="1">Tabelle3!H$22</f>
        <v>0.15130012201968471</v>
      </c>
      <c r="M376" s="101">
        <f ca="1">Tabelle3!I$22</f>
        <v>0.1265153198507234</v>
      </c>
      <c r="N376" s="101">
        <f ca="1">Tabelle3!J$22</f>
        <v>0.11197006725766852</v>
      </c>
      <c r="O376" s="101">
        <f ca="1">Tabelle3!K$22</f>
        <v>0.10234518089170801</v>
      </c>
      <c r="P376" s="101">
        <f ca="1">Tabelle3!L$22</f>
        <v>9.5161176586847293E-2</v>
      </c>
      <c r="Q376" s="101">
        <f ca="1">Tabelle3!M$22</f>
        <v>9.0578027676224804E-2</v>
      </c>
      <c r="R376" s="101">
        <f ca="1">Tabelle3!N$22</f>
        <v>8.743597197976713E-2</v>
      </c>
      <c r="S376" s="101">
        <f ca="1">Tabelle3!O$22</f>
        <v>8.5829507413157174E-2</v>
      </c>
      <c r="T376" s="101">
        <f ca="1">Tabelle3!P$22</f>
        <v>8.5829507413157174E-2</v>
      </c>
      <c r="U376" s="101">
        <f ca="1">Tabelle3!Q$22</f>
        <v>8.743597197976713E-2</v>
      </c>
      <c r="V376" s="101">
        <f ca="1">Tabelle3!R$22</f>
        <v>9.0578027676224804E-2</v>
      </c>
      <c r="W376" s="101">
        <f ca="1">Tabelle3!S$22</f>
        <v>9.5161176586847293E-2</v>
      </c>
      <c r="X376" s="101">
        <f ca="1">Tabelle3!T$22</f>
        <v>0.10234518089170801</v>
      </c>
      <c r="Y376" s="101">
        <f ca="1">Tabelle3!U$22</f>
        <v>0.11197006725766852</v>
      </c>
      <c r="Z376" s="101">
        <f ca="1">Tabelle3!V$22</f>
        <v>0.1265153198507234</v>
      </c>
      <c r="AA376" s="101">
        <f ca="1">Tabelle3!W$22</f>
        <v>0.15130012201968471</v>
      </c>
      <c r="AB376" s="101">
        <f ca="1">Tabelle3!X$22</f>
        <v>0.1835067110858897</v>
      </c>
      <c r="AC376" s="101">
        <f ca="1">Tabelle3!Y$22</f>
        <v>0.24126282328253615</v>
      </c>
      <c r="AD376" s="101">
        <f ca="1">Tabelle3!Z$22</f>
        <v>0.36902905301606975</v>
      </c>
      <c r="AE376" s="101">
        <f ca="1">Tabelle3!AA$22</f>
        <v>0.73440768932856404</v>
      </c>
      <c r="AF376" s="55"/>
    </row>
    <row r="377" spans="1:33" s="27" customFormat="1">
      <c r="A377" s="27" t="s">
        <v>830</v>
      </c>
      <c r="F377" s="10">
        <f ca="1">Tabelle3!N$80</f>
        <v>1.9907587298357079</v>
      </c>
      <c r="H377" s="107">
        <f ca="1">$F$11*$F$142</f>
        <v>9.9537936491785398E-2</v>
      </c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55"/>
    </row>
    <row r="378" spans="1:33" ht="15" customHeight="1">
      <c r="A378" s="3" t="s">
        <v>831</v>
      </c>
      <c r="B378" s="11"/>
      <c r="C378" s="11"/>
      <c r="D378" s="11"/>
      <c r="E378" s="27"/>
      <c r="F378" s="6"/>
      <c r="G378" s="19">
        <f>SUM(H378:AE378)/48</f>
        <v>15.672149022852549</v>
      </c>
      <c r="H378" s="24">
        <f t="shared" ref="H378:AE378" si="98">H$65*H$376*$F$16</f>
        <v>18.919252636076209</v>
      </c>
      <c r="I378" s="24">
        <f t="shared" si="98"/>
        <v>28.290946545185314</v>
      </c>
      <c r="J378" s="24">
        <f t="shared" si="98"/>
        <v>30.475593148084386</v>
      </c>
      <c r="K378" s="24">
        <f t="shared" si="98"/>
        <v>31.870403554760689</v>
      </c>
      <c r="L378" s="24">
        <f t="shared" si="98"/>
        <v>33.001846930530277</v>
      </c>
      <c r="M378" s="24">
        <f t="shared" si="98"/>
        <v>32.742965614330338</v>
      </c>
      <c r="N378" s="24">
        <f t="shared" si="98"/>
        <v>33.044094125316747</v>
      </c>
      <c r="O378" s="24">
        <f t="shared" si="98"/>
        <v>33.40011097897488</v>
      </c>
      <c r="P378" s="24">
        <f t="shared" si="98"/>
        <v>33.489717407628852</v>
      </c>
      <c r="Q378" s="24">
        <f t="shared" si="98"/>
        <v>33.655187234317623</v>
      </c>
      <c r="R378" s="24">
        <f t="shared" si="98"/>
        <v>33.64324333940521</v>
      </c>
      <c r="S378" s="24">
        <f t="shared" si="98"/>
        <v>33.59821503385065</v>
      </c>
      <c r="T378" s="24">
        <f t="shared" si="98"/>
        <v>33.59821503385065</v>
      </c>
      <c r="U378" s="24">
        <f t="shared" si="98"/>
        <v>33.64324333940521</v>
      </c>
      <c r="V378" s="24">
        <f t="shared" si="98"/>
        <v>33.655187234317623</v>
      </c>
      <c r="W378" s="24">
        <f t="shared" si="98"/>
        <v>33.489717407628852</v>
      </c>
      <c r="X378" s="24">
        <f t="shared" si="98"/>
        <v>33.40011097897488</v>
      </c>
      <c r="Y378" s="24">
        <f t="shared" si="98"/>
        <v>33.044094125316747</v>
      </c>
      <c r="Z378" s="24">
        <f t="shared" si="98"/>
        <v>32.742965614330338</v>
      </c>
      <c r="AA378" s="24">
        <f t="shared" si="98"/>
        <v>33.001846930530277</v>
      </c>
      <c r="AB378" s="24">
        <f t="shared" si="98"/>
        <v>31.870403554760689</v>
      </c>
      <c r="AC378" s="24">
        <f t="shared" si="98"/>
        <v>30.475593148084386</v>
      </c>
      <c r="AD378" s="24">
        <f t="shared" si="98"/>
        <v>28.290946545185314</v>
      </c>
      <c r="AE378" s="24">
        <f t="shared" si="98"/>
        <v>18.919252636076209</v>
      </c>
      <c r="AF378" s="28"/>
      <c r="AG378" s="11"/>
    </row>
    <row r="379" spans="1:33">
      <c r="A379" s="3"/>
      <c r="B379" s="5" t="s">
        <v>987</v>
      </c>
      <c r="C379" s="11"/>
      <c r="D379" t="s">
        <v>1037</v>
      </c>
      <c r="F379" s="27"/>
      <c r="G379" t="s">
        <v>854</v>
      </c>
      <c r="I379" s="2"/>
      <c r="K379" s="2"/>
      <c r="M379" s="2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11"/>
    </row>
    <row r="380" spans="1:33">
      <c r="A380" s="3"/>
      <c r="C380" s="11"/>
      <c r="D380" s="2" t="s">
        <v>988</v>
      </c>
      <c r="F380" s="27"/>
      <c r="G380" s="2"/>
      <c r="I380" s="2"/>
      <c r="K380" s="2"/>
      <c r="M380" s="2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11"/>
    </row>
    <row r="381" spans="1:33">
      <c r="A381" t="s">
        <v>879</v>
      </c>
      <c r="C381" s="11"/>
      <c r="G381" s="98">
        <f>SUM(H381:AE381)/48</f>
        <v>234.05791470714857</v>
      </c>
      <c r="H381" s="97">
        <f t="shared" ref="H381:AE381" si="99">H$65*(1-($F$16+$F$13)*H$376)</f>
        <v>32.224842021002779</v>
      </c>
      <c r="I381" s="97">
        <f t="shared" si="99"/>
        <v>124.46962611266947</v>
      </c>
      <c r="J381" s="97">
        <f t="shared" si="99"/>
        <v>221.54887094467148</v>
      </c>
      <c r="K381" s="97">
        <f t="shared" si="99"/>
        <v>314.84083155094709</v>
      </c>
      <c r="L381" s="97">
        <f t="shared" si="99"/>
        <v>402.58161005529382</v>
      </c>
      <c r="M381" s="97">
        <f t="shared" si="99"/>
        <v>484.21483499415893</v>
      </c>
      <c r="N381" s="97">
        <f t="shared" si="99"/>
        <v>556.52587648018675</v>
      </c>
      <c r="O381" s="97">
        <f t="shared" si="99"/>
        <v>618.62722014236215</v>
      </c>
      <c r="P381" s="97">
        <f t="shared" si="99"/>
        <v>669.69301737021169</v>
      </c>
      <c r="Q381" s="97">
        <f t="shared" si="99"/>
        <v>708.79204620960411</v>
      </c>
      <c r="R381" s="97">
        <f t="shared" si="99"/>
        <v>735.23542939643835</v>
      </c>
      <c r="S381" s="97">
        <f t="shared" si="99"/>
        <v>748.63574769401851</v>
      </c>
      <c r="T381" s="97">
        <f t="shared" si="99"/>
        <v>748.63574769401851</v>
      </c>
      <c r="U381" s="97">
        <f t="shared" si="99"/>
        <v>735.23542939643835</v>
      </c>
      <c r="V381" s="97">
        <f t="shared" si="99"/>
        <v>708.79204620960411</v>
      </c>
      <c r="W381" s="97">
        <f t="shared" si="99"/>
        <v>669.69301737021169</v>
      </c>
      <c r="X381" s="97">
        <f t="shared" si="99"/>
        <v>618.62722014236215</v>
      </c>
      <c r="Y381" s="97">
        <f t="shared" si="99"/>
        <v>556.52587648018675</v>
      </c>
      <c r="Z381" s="97">
        <f t="shared" si="99"/>
        <v>484.21483499415893</v>
      </c>
      <c r="AA381" s="97">
        <f t="shared" si="99"/>
        <v>402.58161005529382</v>
      </c>
      <c r="AB381" s="97">
        <f t="shared" si="99"/>
        <v>314.84083155094709</v>
      </c>
      <c r="AC381" s="97">
        <f t="shared" si="99"/>
        <v>221.54887094467148</v>
      </c>
      <c r="AD381" s="97">
        <f t="shared" si="99"/>
        <v>124.46962611266947</v>
      </c>
      <c r="AE381" s="97">
        <f t="shared" si="99"/>
        <v>32.224842021002779</v>
      </c>
      <c r="AF381" s="28"/>
      <c r="AG381" s="11"/>
    </row>
    <row r="382" spans="1:33">
      <c r="B382" s="24" t="s">
        <v>989</v>
      </c>
      <c r="D382" s="2" t="s">
        <v>992</v>
      </c>
      <c r="E382" s="24" t="s">
        <v>900</v>
      </c>
      <c r="H382" t="s">
        <v>853</v>
      </c>
      <c r="AF382" s="28"/>
      <c r="AG382" s="11"/>
    </row>
    <row r="383" spans="1:33">
      <c r="A383" t="s">
        <v>832</v>
      </c>
      <c r="C383" s="11"/>
      <c r="D383" s="24"/>
      <c r="G383" s="97">
        <f>SUM(H383:AE383)/48</f>
        <v>23.40579147071486</v>
      </c>
      <c r="H383" s="97">
        <f>H381*$Q$20</f>
        <v>3.222484202100278</v>
      </c>
      <c r="I383" s="97">
        <f t="shared" ref="I383:AE383" si="100">I381*$Q$20</f>
        <v>12.446962611266947</v>
      </c>
      <c r="J383" s="97">
        <f t="shared" si="100"/>
        <v>22.154887094467149</v>
      </c>
      <c r="K383" s="97">
        <f t="shared" si="100"/>
        <v>31.484083155094709</v>
      </c>
      <c r="L383" s="97">
        <f t="shared" si="100"/>
        <v>40.258161005529388</v>
      </c>
      <c r="M383" s="97">
        <f t="shared" si="100"/>
        <v>48.421483499415899</v>
      </c>
      <c r="N383" s="97">
        <f t="shared" si="100"/>
        <v>55.652587648018681</v>
      </c>
      <c r="O383" s="97">
        <f t="shared" si="100"/>
        <v>61.862722014236219</v>
      </c>
      <c r="P383" s="97">
        <f t="shared" si="100"/>
        <v>66.969301737021169</v>
      </c>
      <c r="Q383" s="97">
        <f t="shared" si="100"/>
        <v>70.879204620960408</v>
      </c>
      <c r="R383" s="97">
        <f t="shared" si="100"/>
        <v>73.523542939643832</v>
      </c>
      <c r="S383" s="97">
        <f t="shared" si="100"/>
        <v>74.863574769401851</v>
      </c>
      <c r="T383" s="97">
        <f t="shared" si="100"/>
        <v>74.863574769401851</v>
      </c>
      <c r="U383" s="97">
        <f t="shared" si="100"/>
        <v>73.523542939643832</v>
      </c>
      <c r="V383" s="97">
        <f t="shared" si="100"/>
        <v>70.879204620960408</v>
      </c>
      <c r="W383" s="97">
        <f t="shared" si="100"/>
        <v>66.969301737021169</v>
      </c>
      <c r="X383" s="97">
        <f t="shared" si="100"/>
        <v>61.862722014236219</v>
      </c>
      <c r="Y383" s="97">
        <f t="shared" si="100"/>
        <v>55.652587648018681</v>
      </c>
      <c r="Z383" s="97">
        <f t="shared" si="100"/>
        <v>48.421483499415899</v>
      </c>
      <c r="AA383" s="97">
        <f t="shared" si="100"/>
        <v>40.258161005529388</v>
      </c>
      <c r="AB383" s="97">
        <f t="shared" si="100"/>
        <v>31.484083155094709</v>
      </c>
      <c r="AC383" s="97">
        <f t="shared" si="100"/>
        <v>22.154887094467149</v>
      </c>
      <c r="AD383" s="97">
        <f t="shared" si="100"/>
        <v>12.446962611266947</v>
      </c>
      <c r="AE383" s="97">
        <f t="shared" si="100"/>
        <v>3.222484202100278</v>
      </c>
      <c r="AF383" s="28"/>
      <c r="AG383" s="11"/>
    </row>
    <row r="384" spans="1:33">
      <c r="B384" s="24" t="s">
        <v>912</v>
      </c>
      <c r="C384" s="14" t="s">
        <v>1002</v>
      </c>
      <c r="D384" s="24" t="s">
        <v>1043</v>
      </c>
      <c r="F384" s="27"/>
      <c r="AF384" s="28"/>
      <c r="AG384" s="11"/>
    </row>
    <row r="385" spans="1:33">
      <c r="A385" s="20" t="s">
        <v>833</v>
      </c>
      <c r="B385" s="11"/>
      <c r="C385" s="11"/>
      <c r="D385" s="11"/>
      <c r="E385" s="27"/>
      <c r="F385" s="6"/>
      <c r="G385" s="19">
        <f>SUM(H385:AE385)/48</f>
        <v>22.21761173638934</v>
      </c>
      <c r="H385" s="24">
        <f t="shared" ref="H385:AE385" si="101">H383*(1-($F$16+$F$13)*$H$377)</f>
        <v>3.0588968938945138</v>
      </c>
      <c r="I385" s="24">
        <f t="shared" si="101"/>
        <v>11.815100674569829</v>
      </c>
      <c r="J385" s="24">
        <f t="shared" si="101"/>
        <v>21.030208704725357</v>
      </c>
      <c r="K385" s="24">
        <f t="shared" si="101"/>
        <v>29.885814213601815</v>
      </c>
      <c r="L385" s="24">
        <f t="shared" si="101"/>
        <v>38.214481726072712</v>
      </c>
      <c r="M385" s="24">
        <f t="shared" si="101"/>
        <v>45.963398479220423</v>
      </c>
      <c r="N385" s="24">
        <f t="shared" si="101"/>
        <v>52.827420343213554</v>
      </c>
      <c r="O385" s="24">
        <f t="shared" si="101"/>
        <v>58.722301289754583</v>
      </c>
      <c r="P385" s="24">
        <f t="shared" si="101"/>
        <v>63.569648824389766</v>
      </c>
      <c r="Q385" s="24">
        <f t="shared" si="101"/>
        <v>67.2810680392042</v>
      </c>
      <c r="R385" s="24">
        <f t="shared" si="101"/>
        <v>69.791168248277387</v>
      </c>
      <c r="S385" s="24">
        <f t="shared" si="101"/>
        <v>71.063174236420025</v>
      </c>
      <c r="T385" s="24">
        <f t="shared" si="101"/>
        <v>71.063174236420025</v>
      </c>
      <c r="U385" s="24">
        <f t="shared" si="101"/>
        <v>69.791168248277387</v>
      </c>
      <c r="V385" s="24">
        <f t="shared" si="101"/>
        <v>67.2810680392042</v>
      </c>
      <c r="W385" s="24">
        <f t="shared" si="101"/>
        <v>63.569648824389766</v>
      </c>
      <c r="X385" s="24">
        <f t="shared" si="101"/>
        <v>58.722301289754583</v>
      </c>
      <c r="Y385" s="24">
        <f t="shared" si="101"/>
        <v>52.827420343213554</v>
      </c>
      <c r="Z385" s="24">
        <f t="shared" si="101"/>
        <v>45.963398479220423</v>
      </c>
      <c r="AA385" s="24">
        <f t="shared" si="101"/>
        <v>38.214481726072712</v>
      </c>
      <c r="AB385" s="24">
        <f t="shared" si="101"/>
        <v>29.885814213601815</v>
      </c>
      <c r="AC385" s="24">
        <f t="shared" si="101"/>
        <v>21.030208704725357</v>
      </c>
      <c r="AD385" s="24">
        <f t="shared" si="101"/>
        <v>11.815100674569829</v>
      </c>
      <c r="AE385" s="24">
        <f t="shared" si="101"/>
        <v>3.0588968938945138</v>
      </c>
      <c r="AF385" s="28"/>
      <c r="AG385" s="11"/>
    </row>
    <row r="386" spans="1:33">
      <c r="A386" s="20"/>
      <c r="B386" s="24" t="s">
        <v>1040</v>
      </c>
      <c r="C386" s="11"/>
      <c r="D386" t="s">
        <v>993</v>
      </c>
      <c r="G386" s="27"/>
      <c r="H386" s="24" t="s">
        <v>900</v>
      </c>
      <c r="K386" t="s">
        <v>853</v>
      </c>
      <c r="M386" s="28"/>
      <c r="O386" s="28"/>
      <c r="P386" s="28"/>
      <c r="Q386" s="11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11"/>
    </row>
    <row r="387" spans="1:33">
      <c r="A387" t="s">
        <v>834</v>
      </c>
      <c r="B387" s="5"/>
      <c r="C387" s="11"/>
      <c r="D387" s="5" t="s">
        <v>1003</v>
      </c>
      <c r="F387" t="s">
        <v>1038</v>
      </c>
      <c r="G387" s="97">
        <f>SUM(H387:AE387)/48</f>
        <v>1.1648820924759939</v>
      </c>
      <c r="H387" s="97">
        <f t="shared" ref="H387:AE387" si="102">H383*$H$377*$F$16</f>
        <v>0.16037971392721961</v>
      </c>
      <c r="I387" s="97">
        <f t="shared" si="102"/>
        <v>0.61947248695795842</v>
      </c>
      <c r="J387" s="97">
        <f t="shared" si="102"/>
        <v>1.1026258722958735</v>
      </c>
      <c r="K387" s="97">
        <f t="shared" si="102"/>
        <v>1.5669303347969539</v>
      </c>
      <c r="L387" s="97">
        <f t="shared" si="102"/>
        <v>2.0036071367222279</v>
      </c>
      <c r="M387" s="97">
        <f t="shared" si="102"/>
        <v>2.4098872747014473</v>
      </c>
      <c r="N387" s="97">
        <f t="shared" si="102"/>
        <v>2.7697718674560021</v>
      </c>
      <c r="O387" s="97">
        <f t="shared" si="102"/>
        <v>3.0788438475310098</v>
      </c>
      <c r="P387" s="97">
        <f t="shared" si="102"/>
        <v>3.3329930515994133</v>
      </c>
      <c r="Q387" s="97">
        <f t="shared" si="102"/>
        <v>3.5275848840747095</v>
      </c>
      <c r="R387" s="97">
        <f t="shared" si="102"/>
        <v>3.659190873888662</v>
      </c>
      <c r="S387" s="97">
        <f t="shared" si="102"/>
        <v>3.7258828754723745</v>
      </c>
      <c r="T387" s="97">
        <f t="shared" si="102"/>
        <v>3.7258828754723745</v>
      </c>
      <c r="U387" s="97">
        <f t="shared" si="102"/>
        <v>3.659190873888662</v>
      </c>
      <c r="V387" s="97">
        <f t="shared" si="102"/>
        <v>3.5275848840747095</v>
      </c>
      <c r="W387" s="97">
        <f t="shared" si="102"/>
        <v>3.3329930515994133</v>
      </c>
      <c r="X387" s="97">
        <f t="shared" si="102"/>
        <v>3.0788438475310098</v>
      </c>
      <c r="Y387" s="97">
        <f t="shared" si="102"/>
        <v>2.7697718674560021</v>
      </c>
      <c r="Z387" s="97">
        <f t="shared" si="102"/>
        <v>2.4098872747014473</v>
      </c>
      <c r="AA387" s="97">
        <f t="shared" si="102"/>
        <v>2.0036071367222279</v>
      </c>
      <c r="AB387" s="97">
        <f t="shared" si="102"/>
        <v>1.5669303347969539</v>
      </c>
      <c r="AC387" s="97">
        <f t="shared" si="102"/>
        <v>1.1026258722958735</v>
      </c>
      <c r="AD387" s="97">
        <f t="shared" si="102"/>
        <v>0.61947248695795842</v>
      </c>
      <c r="AE387" s="97">
        <f t="shared" si="102"/>
        <v>0.16037971392721961</v>
      </c>
      <c r="AF387" s="28"/>
      <c r="AG387" s="11"/>
    </row>
    <row r="388" spans="1:33">
      <c r="A388" t="s">
        <v>909</v>
      </c>
      <c r="B388" s="5"/>
      <c r="C388" s="11"/>
      <c r="D388" s="5" t="s">
        <v>1039</v>
      </c>
      <c r="G388" s="97">
        <f>SUM(H388:AE388)/48</f>
        <v>0.11648820924759935</v>
      </c>
      <c r="H388" s="97">
        <f>H387*$Q$20</f>
        <v>1.6037971392721961E-2</v>
      </c>
      <c r="I388" s="97">
        <f t="shared" ref="I388:AE388" si="103">I387*$Q$20</f>
        <v>6.1947248695795848E-2</v>
      </c>
      <c r="J388" s="97">
        <f t="shared" si="103"/>
        <v>0.11026258722958736</v>
      </c>
      <c r="K388" s="97">
        <f t="shared" si="103"/>
        <v>0.1566930334796954</v>
      </c>
      <c r="L388" s="97">
        <f t="shared" si="103"/>
        <v>0.2003607136722228</v>
      </c>
      <c r="M388" s="97">
        <f t="shared" si="103"/>
        <v>0.24098872747014474</v>
      </c>
      <c r="N388" s="97">
        <f t="shared" si="103"/>
        <v>0.27697718674560023</v>
      </c>
      <c r="O388" s="97">
        <f t="shared" si="103"/>
        <v>0.30788438475310098</v>
      </c>
      <c r="P388" s="97">
        <f t="shared" si="103"/>
        <v>0.33329930515994133</v>
      </c>
      <c r="Q388" s="97">
        <f t="shared" si="103"/>
        <v>0.35275848840747098</v>
      </c>
      <c r="R388" s="97">
        <f t="shared" si="103"/>
        <v>0.36591908738886625</v>
      </c>
      <c r="S388" s="97">
        <f t="shared" si="103"/>
        <v>0.3725882875472375</v>
      </c>
      <c r="T388" s="97">
        <f t="shared" si="103"/>
        <v>0.3725882875472375</v>
      </c>
      <c r="U388" s="97">
        <f t="shared" si="103"/>
        <v>0.36591908738886625</v>
      </c>
      <c r="V388" s="97">
        <f t="shared" si="103"/>
        <v>0.35275848840747098</v>
      </c>
      <c r="W388" s="97">
        <f t="shared" si="103"/>
        <v>0.33329930515994133</v>
      </c>
      <c r="X388" s="97">
        <f t="shared" si="103"/>
        <v>0.30788438475310098</v>
      </c>
      <c r="Y388" s="97">
        <f t="shared" si="103"/>
        <v>0.27697718674560023</v>
      </c>
      <c r="Z388" s="97">
        <f t="shared" si="103"/>
        <v>0.24098872747014474</v>
      </c>
      <c r="AA388" s="97">
        <f t="shared" si="103"/>
        <v>0.2003607136722228</v>
      </c>
      <c r="AB388" s="97">
        <f t="shared" si="103"/>
        <v>0.1566930334796954</v>
      </c>
      <c r="AC388" s="97">
        <f t="shared" si="103"/>
        <v>0.11026258722958736</v>
      </c>
      <c r="AD388" s="97">
        <f t="shared" si="103"/>
        <v>6.1947248695795848E-2</v>
      </c>
      <c r="AE388" s="97">
        <f t="shared" si="103"/>
        <v>1.6037971392721961E-2</v>
      </c>
      <c r="AF388" s="28"/>
      <c r="AG388" s="11"/>
    </row>
    <row r="389" spans="1:33">
      <c r="A389" s="20" t="s">
        <v>835</v>
      </c>
      <c r="B389" s="5"/>
      <c r="C389" s="11"/>
      <c r="G389" s="19">
        <f>SUM(H389:AE389)/48</f>
        <v>0.11057476130079337</v>
      </c>
      <c r="H389" s="24">
        <f t="shared" ref="H389:AE389" si="104">H388*(1-($F$16+$F$13)*$H$377)</f>
        <v>1.5223814237969587E-2</v>
      </c>
      <c r="I389" s="24">
        <f t="shared" si="104"/>
        <v>5.880253702946913E-2</v>
      </c>
      <c r="J389" s="24">
        <f t="shared" si="104"/>
        <v>0.10466517892299726</v>
      </c>
      <c r="K389" s="24">
        <f t="shared" si="104"/>
        <v>0.14873861385993975</v>
      </c>
      <c r="L389" s="24">
        <f t="shared" si="104"/>
        <v>0.19018953275581599</v>
      </c>
      <c r="M389" s="24">
        <f t="shared" si="104"/>
        <v>0.22875509193856342</v>
      </c>
      <c r="N389" s="24">
        <f t="shared" si="104"/>
        <v>0.26291662055738219</v>
      </c>
      <c r="O389" s="24">
        <f t="shared" si="104"/>
        <v>0.29225483482155401</v>
      </c>
      <c r="P389" s="24">
        <f t="shared" si="104"/>
        <v>0.31637958337436045</v>
      </c>
      <c r="Q389" s="24">
        <f t="shared" si="104"/>
        <v>0.33485093387929005</v>
      </c>
      <c r="R389" s="24">
        <f t="shared" si="104"/>
        <v>0.34734344363922726</v>
      </c>
      <c r="S389" s="24">
        <f t="shared" si="104"/>
        <v>0.35367408620247287</v>
      </c>
      <c r="T389" s="24">
        <f t="shared" si="104"/>
        <v>0.35367408620247287</v>
      </c>
      <c r="U389" s="24">
        <f t="shared" si="104"/>
        <v>0.34734344363922726</v>
      </c>
      <c r="V389" s="24">
        <f t="shared" si="104"/>
        <v>0.33485093387929005</v>
      </c>
      <c r="W389" s="24">
        <f t="shared" si="104"/>
        <v>0.31637958337436045</v>
      </c>
      <c r="X389" s="24">
        <f t="shared" si="104"/>
        <v>0.29225483482155401</v>
      </c>
      <c r="Y389" s="24">
        <f t="shared" si="104"/>
        <v>0.26291662055738219</v>
      </c>
      <c r="Z389" s="24">
        <f t="shared" si="104"/>
        <v>0.22875509193856342</v>
      </c>
      <c r="AA389" s="24">
        <f t="shared" si="104"/>
        <v>0.19018953275581599</v>
      </c>
      <c r="AB389" s="24">
        <f t="shared" si="104"/>
        <v>0.14873861385993975</v>
      </c>
      <c r="AC389" s="24">
        <f t="shared" si="104"/>
        <v>0.10466517892299726</v>
      </c>
      <c r="AD389" s="24">
        <f t="shared" si="104"/>
        <v>5.880253702946913E-2</v>
      </c>
      <c r="AE389" s="24">
        <f t="shared" si="104"/>
        <v>1.5223814237969587E-2</v>
      </c>
      <c r="AF389" s="28"/>
      <c r="AG389" s="11"/>
    </row>
    <row r="390" spans="1:33">
      <c r="A390" s="20"/>
      <c r="B390" s="24" t="s">
        <v>1042</v>
      </c>
      <c r="C390" s="11"/>
      <c r="D390" t="s">
        <v>993</v>
      </c>
      <c r="G390" s="27"/>
      <c r="H390" s="24" t="s">
        <v>900</v>
      </c>
      <c r="K390" t="s">
        <v>853</v>
      </c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8"/>
      <c r="AG390" s="11"/>
    </row>
    <row r="391" spans="1:33">
      <c r="A391" s="100" t="s">
        <v>836</v>
      </c>
      <c r="B391" s="5"/>
      <c r="C391" s="11"/>
      <c r="G391" s="19">
        <f>SUM(H391:AE391)/48</f>
        <v>5.5031917839763527E-4</v>
      </c>
      <c r="H391" s="2">
        <f>H389^2/H385</f>
        <v>7.5767352739087757E-5</v>
      </c>
      <c r="I391" s="2">
        <f t="shared" ref="I391:AE391" si="105">I389^2/I385</f>
        <v>2.9265415981975795E-4</v>
      </c>
      <c r="J391" s="2">
        <f t="shared" si="105"/>
        <v>5.2090779662693285E-4</v>
      </c>
      <c r="K391" s="2">
        <f t="shared" si="105"/>
        <v>7.4025673501334371E-4</v>
      </c>
      <c r="L391" s="2">
        <f t="shared" si="105"/>
        <v>9.465536816425376E-4</v>
      </c>
      <c r="M391" s="2">
        <f t="shared" si="105"/>
        <v>1.1384904906776628E-3</v>
      </c>
      <c r="N391" s="2">
        <f t="shared" si="105"/>
        <v>1.3085088939837777E-3</v>
      </c>
      <c r="O391" s="2">
        <f t="shared" si="105"/>
        <v>1.4545221593942538E-3</v>
      </c>
      <c r="P391" s="2">
        <f t="shared" si="105"/>
        <v>1.5745885438607306E-3</v>
      </c>
      <c r="Q391" s="2">
        <f t="shared" si="105"/>
        <v>1.6665185495345904E-3</v>
      </c>
      <c r="R391" s="2">
        <f t="shared" si="105"/>
        <v>1.7286924816899724E-3</v>
      </c>
      <c r="S391" s="2">
        <f t="shared" si="105"/>
        <v>1.7601994365605991E-3</v>
      </c>
      <c r="T391" s="2">
        <f t="shared" si="105"/>
        <v>1.7601994365605991E-3</v>
      </c>
      <c r="U391" s="2">
        <f t="shared" si="105"/>
        <v>1.7286924816899724E-3</v>
      </c>
      <c r="V391" s="2">
        <f t="shared" si="105"/>
        <v>1.6665185495345904E-3</v>
      </c>
      <c r="W391" s="2">
        <f t="shared" si="105"/>
        <v>1.5745885438607306E-3</v>
      </c>
      <c r="X391" s="2">
        <f t="shared" si="105"/>
        <v>1.4545221593942538E-3</v>
      </c>
      <c r="Y391" s="2">
        <f t="shared" si="105"/>
        <v>1.3085088939837777E-3</v>
      </c>
      <c r="Z391" s="2">
        <f t="shared" si="105"/>
        <v>1.1384904906776628E-3</v>
      </c>
      <c r="AA391" s="2">
        <f t="shared" si="105"/>
        <v>9.465536816425376E-4</v>
      </c>
      <c r="AB391" s="2">
        <f t="shared" si="105"/>
        <v>7.4025673501334371E-4</v>
      </c>
      <c r="AC391" s="2">
        <f t="shared" si="105"/>
        <v>5.2090779662693285E-4</v>
      </c>
      <c r="AD391" s="2">
        <f t="shared" si="105"/>
        <v>2.9265415981975795E-4</v>
      </c>
      <c r="AE391" s="2">
        <f t="shared" si="105"/>
        <v>7.5767352739087757E-5</v>
      </c>
      <c r="AF391" s="28"/>
      <c r="AG391" s="11"/>
    </row>
    <row r="392" spans="1:33">
      <c r="A392" s="100"/>
      <c r="B392" s="24" t="s">
        <v>1044</v>
      </c>
      <c r="C392" s="11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8"/>
      <c r="AG392" s="11"/>
    </row>
    <row r="393" spans="1:33">
      <c r="A393" s="20" t="s">
        <v>837</v>
      </c>
      <c r="B393" s="11"/>
      <c r="C393" s="11"/>
      <c r="D393" s="11"/>
      <c r="E393" s="27"/>
      <c r="F393" s="6"/>
      <c r="G393" s="19">
        <f>SUM(H393:AE393)/24</f>
        <v>307.24055913130536</v>
      </c>
      <c r="H393" s="24">
        <f t="shared" ref="H393:AE393" si="106">$Q$24*(1-$H$377*(1-$F$14))</f>
        <v>307.24055913130519</v>
      </c>
      <c r="I393" s="24">
        <f t="shared" si="106"/>
        <v>307.24055913130519</v>
      </c>
      <c r="J393" s="24">
        <f t="shared" si="106"/>
        <v>307.24055913130519</v>
      </c>
      <c r="K393" s="24">
        <f t="shared" si="106"/>
        <v>307.24055913130519</v>
      </c>
      <c r="L393" s="24">
        <f t="shared" si="106"/>
        <v>307.24055913130519</v>
      </c>
      <c r="M393" s="24">
        <f t="shared" si="106"/>
        <v>307.24055913130519</v>
      </c>
      <c r="N393" s="24">
        <f t="shared" si="106"/>
        <v>307.24055913130519</v>
      </c>
      <c r="O393" s="24">
        <f t="shared" si="106"/>
        <v>307.24055913130519</v>
      </c>
      <c r="P393" s="24">
        <f t="shared" si="106"/>
        <v>307.24055913130519</v>
      </c>
      <c r="Q393" s="24">
        <f t="shared" si="106"/>
        <v>307.24055913130519</v>
      </c>
      <c r="R393" s="24">
        <f t="shared" si="106"/>
        <v>307.24055913130519</v>
      </c>
      <c r="S393" s="24">
        <f t="shared" si="106"/>
        <v>307.24055913130519</v>
      </c>
      <c r="T393" s="24">
        <f t="shared" si="106"/>
        <v>307.24055913130519</v>
      </c>
      <c r="U393" s="24">
        <f t="shared" si="106"/>
        <v>307.24055913130519</v>
      </c>
      <c r="V393" s="24">
        <f t="shared" si="106"/>
        <v>307.24055913130519</v>
      </c>
      <c r="W393" s="24">
        <f t="shared" si="106"/>
        <v>307.24055913130519</v>
      </c>
      <c r="X393" s="24">
        <f t="shared" si="106"/>
        <v>307.24055913130519</v>
      </c>
      <c r="Y393" s="24">
        <f t="shared" si="106"/>
        <v>307.24055913130519</v>
      </c>
      <c r="Z393" s="24">
        <f t="shared" si="106"/>
        <v>307.24055913130519</v>
      </c>
      <c r="AA393" s="24">
        <f t="shared" si="106"/>
        <v>307.24055913130519</v>
      </c>
      <c r="AB393" s="24">
        <f t="shared" si="106"/>
        <v>307.24055913130519</v>
      </c>
      <c r="AC393" s="24">
        <f t="shared" si="106"/>
        <v>307.24055913130519</v>
      </c>
      <c r="AD393" s="24">
        <f t="shared" si="106"/>
        <v>307.24055913130519</v>
      </c>
      <c r="AE393" s="24">
        <f t="shared" si="106"/>
        <v>307.24055913130519</v>
      </c>
      <c r="AF393" s="28"/>
      <c r="AG393" s="11"/>
    </row>
    <row r="394" spans="1:33">
      <c r="A394" s="20"/>
      <c r="B394" s="5" t="s">
        <v>1004</v>
      </c>
      <c r="C394" s="11"/>
      <c r="D394" t="s">
        <v>1005</v>
      </c>
      <c r="E394" s="2"/>
      <c r="G394" t="s">
        <v>994</v>
      </c>
      <c r="I394" s="11"/>
      <c r="J394" s="28"/>
      <c r="K394" s="2" t="s">
        <v>844</v>
      </c>
      <c r="L394" s="12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11"/>
    </row>
    <row r="395" spans="1:33">
      <c r="A395" s="12" t="s">
        <v>573</v>
      </c>
      <c r="B395" t="s">
        <v>839</v>
      </c>
      <c r="E395" s="12"/>
      <c r="F395" s="6"/>
      <c r="G395" s="32"/>
      <c r="H395" s="3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3">
      <c r="A396" s="11"/>
      <c r="B396" s="14" t="s">
        <v>870</v>
      </c>
      <c r="E396" s="12"/>
      <c r="F396" s="6"/>
      <c r="G396" s="32"/>
      <c r="H396" s="3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3">
      <c r="A397" s="11"/>
      <c r="B397" s="14" t="s">
        <v>845</v>
      </c>
      <c r="E397" s="12"/>
      <c r="F397" s="6"/>
      <c r="G397" s="32"/>
      <c r="H397" s="3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3">
      <c r="A398" s="11"/>
      <c r="B398" s="14" t="s">
        <v>842</v>
      </c>
      <c r="E398" s="12"/>
      <c r="F398" s="6"/>
      <c r="G398" s="32"/>
      <c r="H398" s="3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3">
      <c r="A399" s="20" t="s">
        <v>914</v>
      </c>
      <c r="B399" s="11"/>
      <c r="C399" s="11"/>
      <c r="D399" s="11"/>
      <c r="E399" s="27"/>
      <c r="F399" s="6"/>
      <c r="G399" s="19">
        <f>SUM(H399:AE399)/24</f>
        <v>12.551783676120003</v>
      </c>
      <c r="H399" s="24">
        <f t="shared" ref="H399:AE399" si="107">$M$9*($F$9+273)^4*$F$11*$H$18</f>
        <v>12.551783676119999</v>
      </c>
      <c r="I399" s="24">
        <f t="shared" si="107"/>
        <v>12.551783676119999</v>
      </c>
      <c r="J399" s="24">
        <f t="shared" si="107"/>
        <v>12.551783676119999</v>
      </c>
      <c r="K399" s="24">
        <f t="shared" si="107"/>
        <v>12.551783676119999</v>
      </c>
      <c r="L399" s="24">
        <f t="shared" si="107"/>
        <v>12.551783676119999</v>
      </c>
      <c r="M399" s="24">
        <f t="shared" si="107"/>
        <v>12.551783676119999</v>
      </c>
      <c r="N399" s="24">
        <f t="shared" si="107"/>
        <v>12.551783676119999</v>
      </c>
      <c r="O399" s="24">
        <f t="shared" si="107"/>
        <v>12.551783676119999</v>
      </c>
      <c r="P399" s="24">
        <f t="shared" si="107"/>
        <v>12.551783676119999</v>
      </c>
      <c r="Q399" s="24">
        <f t="shared" si="107"/>
        <v>12.551783676119999</v>
      </c>
      <c r="R399" s="24">
        <f t="shared" si="107"/>
        <v>12.551783676119999</v>
      </c>
      <c r="S399" s="24">
        <f t="shared" si="107"/>
        <v>12.551783676119999</v>
      </c>
      <c r="T399" s="24">
        <f t="shared" si="107"/>
        <v>12.551783676119999</v>
      </c>
      <c r="U399" s="24">
        <f t="shared" si="107"/>
        <v>12.551783676119999</v>
      </c>
      <c r="V399" s="24">
        <f t="shared" si="107"/>
        <v>12.551783676119999</v>
      </c>
      <c r="W399" s="24">
        <f t="shared" si="107"/>
        <v>12.551783676119999</v>
      </c>
      <c r="X399" s="24">
        <f t="shared" si="107"/>
        <v>12.551783676119999</v>
      </c>
      <c r="Y399" s="24">
        <f t="shared" si="107"/>
        <v>12.551783676119999</v>
      </c>
      <c r="Z399" s="24">
        <f t="shared" si="107"/>
        <v>12.551783676119999</v>
      </c>
      <c r="AA399" s="24">
        <f t="shared" si="107"/>
        <v>12.551783676119999</v>
      </c>
      <c r="AB399" s="24">
        <f t="shared" si="107"/>
        <v>12.551783676119999</v>
      </c>
      <c r="AC399" s="24">
        <f t="shared" si="107"/>
        <v>12.551783676119999</v>
      </c>
      <c r="AD399" s="24">
        <f t="shared" si="107"/>
        <v>12.551783676119999</v>
      </c>
      <c r="AE399" s="24">
        <f t="shared" si="107"/>
        <v>12.551783676119999</v>
      </c>
      <c r="AF399" s="28"/>
      <c r="AG399" s="11"/>
    </row>
    <row r="400" spans="1:33">
      <c r="A400" s="20"/>
      <c r="B400" s="5" t="s">
        <v>272</v>
      </c>
      <c r="C400" s="11"/>
      <c r="D400" t="s">
        <v>743</v>
      </c>
      <c r="E400" s="27"/>
      <c r="F400" s="6"/>
      <c r="G400" s="28"/>
      <c r="H400" t="s">
        <v>717</v>
      </c>
      <c r="I400" s="29"/>
      <c r="J400" s="11"/>
      <c r="K400" s="2" t="s">
        <v>273</v>
      </c>
      <c r="L400" s="11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11"/>
    </row>
    <row r="401" spans="1:33">
      <c r="A401" s="20"/>
      <c r="B401" s="27" t="s">
        <v>925</v>
      </c>
      <c r="C401" s="11" t="s">
        <v>266</v>
      </c>
      <c r="E401" s="27"/>
      <c r="F401" s="6"/>
      <c r="G401" s="28"/>
      <c r="I401" s="29"/>
      <c r="J401" s="11"/>
      <c r="K401" s="2"/>
      <c r="L401" s="11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11"/>
    </row>
    <row r="402" spans="1:33">
      <c r="A402" s="20"/>
      <c r="B402" s="14"/>
      <c r="C402" t="s">
        <v>274</v>
      </c>
      <c r="E402" s="27"/>
      <c r="F402" s="6"/>
      <c r="G402" s="28"/>
      <c r="I402" s="29"/>
      <c r="J402" s="11"/>
      <c r="K402" s="2"/>
      <c r="L402" s="11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11"/>
    </row>
    <row r="403" spans="1:33">
      <c r="A403" s="20"/>
      <c r="B403" s="16" t="s">
        <v>332</v>
      </c>
      <c r="C403" s="11"/>
      <c r="D403" s="11"/>
      <c r="E403" s="27"/>
      <c r="F403" s="6"/>
      <c r="G403" s="32">
        <f>G378+G385+G389+G391+G393+G399</f>
        <v>357.79322864714646</v>
      </c>
      <c r="H403" s="33"/>
      <c r="I403" s="29"/>
      <c r="J403" s="28"/>
      <c r="K403" s="11"/>
      <c r="L403" s="11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11"/>
    </row>
    <row r="404" spans="1:33">
      <c r="A404" s="20"/>
      <c r="B404" s="16" t="s">
        <v>721</v>
      </c>
      <c r="G404" s="32">
        <f>G373-G403</f>
        <v>7.6616714158992067</v>
      </c>
      <c r="H404" s="33"/>
      <c r="I404" s="8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3">
      <c r="A405" s="39" t="s">
        <v>508</v>
      </c>
      <c r="B405" s="16"/>
      <c r="G405" s="32"/>
      <c r="H405" s="3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3">
      <c r="A406" s="3" t="s">
        <v>771</v>
      </c>
      <c r="G406" t="s">
        <v>535</v>
      </c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3">
      <c r="A407" s="20" t="s">
        <v>873</v>
      </c>
      <c r="B407" s="11"/>
      <c r="C407" s="11"/>
      <c r="D407" s="11"/>
      <c r="E407" s="14" t="s">
        <v>563</v>
      </c>
      <c r="F407" s="31">
        <f>$F$15</f>
        <v>0.7</v>
      </c>
      <c r="G407" s="19">
        <f>SUM(H407:AE407)/48</f>
        <v>119.51979377283304</v>
      </c>
      <c r="H407" s="2">
        <f>H$65*H$27*$F$15</f>
        <v>0</v>
      </c>
      <c r="I407" s="2">
        <f t="shared" ref="I407:AE407" si="108">I$65*I$27*$F$15</f>
        <v>0</v>
      </c>
      <c r="J407" s="2">
        <f t="shared" si="108"/>
        <v>0</v>
      </c>
      <c r="K407" s="2">
        <f t="shared" si="108"/>
        <v>0</v>
      </c>
      <c r="L407" s="2">
        <f t="shared" si="108"/>
        <v>0</v>
      </c>
      <c r="M407" s="2">
        <f t="shared" si="108"/>
        <v>0</v>
      </c>
      <c r="N407" s="2">
        <f t="shared" si="108"/>
        <v>0</v>
      </c>
      <c r="O407" s="2">
        <f t="shared" si="108"/>
        <v>0</v>
      </c>
      <c r="P407" s="2">
        <f t="shared" si="108"/>
        <v>492.69677038819515</v>
      </c>
      <c r="Q407" s="2">
        <f t="shared" si="108"/>
        <v>520.18423603202552</v>
      </c>
      <c r="R407" s="2">
        <f t="shared" si="108"/>
        <v>538.68607632184217</v>
      </c>
      <c r="S407" s="2">
        <f t="shared" si="108"/>
        <v>548.03414891998227</v>
      </c>
      <c r="T407" s="2">
        <f t="shared" si="108"/>
        <v>548.03414891998227</v>
      </c>
      <c r="U407" s="2">
        <f t="shared" si="108"/>
        <v>538.68607632184217</v>
      </c>
      <c r="V407" s="2">
        <f t="shared" si="108"/>
        <v>520.18423603202552</v>
      </c>
      <c r="W407" s="2">
        <f t="shared" si="108"/>
        <v>492.69677038819515</v>
      </c>
      <c r="X407" s="2">
        <f t="shared" si="108"/>
        <v>456.88673333864148</v>
      </c>
      <c r="Y407" s="2">
        <f t="shared" si="108"/>
        <v>413.1615967416069</v>
      </c>
      <c r="Z407" s="2">
        <f t="shared" si="108"/>
        <v>362.32886194454306</v>
      </c>
      <c r="AA407" s="2">
        <f t="shared" si="108"/>
        <v>305.37044574710427</v>
      </c>
      <c r="AB407" s="2">
        <f t="shared" si="108"/>
        <v>0</v>
      </c>
      <c r="AC407" s="2">
        <f t="shared" si="108"/>
        <v>0</v>
      </c>
      <c r="AD407" s="2">
        <f t="shared" si="108"/>
        <v>0</v>
      </c>
      <c r="AE407" s="2">
        <f t="shared" si="108"/>
        <v>0</v>
      </c>
      <c r="AF407" s="2"/>
    </row>
    <row r="408" spans="1:33">
      <c r="A408" s="5"/>
      <c r="B408" s="5" t="s">
        <v>985</v>
      </c>
      <c r="C408" s="11"/>
      <c r="D408" t="s">
        <v>1006</v>
      </c>
      <c r="E408" s="12"/>
      <c r="F408" s="18"/>
      <c r="G408" s="19"/>
      <c r="H408" s="2" t="s">
        <v>860</v>
      </c>
      <c r="I408" s="2"/>
      <c r="J408" s="2" t="s">
        <v>861</v>
      </c>
      <c r="K408" s="26"/>
      <c r="L408" s="2"/>
      <c r="M408" s="2"/>
      <c r="N408" s="2"/>
      <c r="O408" s="26"/>
      <c r="P408" s="2"/>
      <c r="Q408" s="2"/>
      <c r="R408" s="26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3">
      <c r="A409" s="20" t="s">
        <v>874</v>
      </c>
      <c r="G409" s="19">
        <f>SUM(H409:AE409)/48</f>
        <v>7.9727800584171069</v>
      </c>
      <c r="H409" s="2">
        <f>H$65*$Q$20*H$28^2</f>
        <v>5.1522479709800519</v>
      </c>
      <c r="I409" s="2">
        <f t="shared" ref="I409:AE409" si="109">I$65*$Q$20*I$28^2</f>
        <v>15.33263915887585</v>
      </c>
      <c r="J409" s="2">
        <f t="shared" si="109"/>
        <v>25.263397595571757</v>
      </c>
      <c r="K409" s="2">
        <f t="shared" si="109"/>
        <v>34.734864317680298</v>
      </c>
      <c r="L409" s="2">
        <f t="shared" si="109"/>
        <v>43.62434939244347</v>
      </c>
      <c r="M409" s="2">
        <f t="shared" si="109"/>
        <v>51.76126599207759</v>
      </c>
      <c r="N409" s="2">
        <f t="shared" si="109"/>
        <v>59.023085248800989</v>
      </c>
      <c r="O409" s="2">
        <f t="shared" si="109"/>
        <v>65.269533334091648</v>
      </c>
      <c r="P409" s="2">
        <f t="shared" si="109"/>
        <v>0.1759631322814986</v>
      </c>
      <c r="Q409" s="2">
        <f t="shared" si="109"/>
        <v>0.18578008429715234</v>
      </c>
      <c r="R409" s="2">
        <f t="shared" si="109"/>
        <v>0.19238788440065827</v>
      </c>
      <c r="S409" s="2">
        <f t="shared" si="109"/>
        <v>0.19572648175713692</v>
      </c>
      <c r="T409" s="2">
        <f t="shared" si="109"/>
        <v>0.19572648175713692</v>
      </c>
      <c r="U409" s="2">
        <f t="shared" si="109"/>
        <v>0.19238788440065827</v>
      </c>
      <c r="V409" s="2">
        <f t="shared" si="109"/>
        <v>0.18578008429715234</v>
      </c>
      <c r="W409" s="2">
        <f t="shared" si="109"/>
        <v>0.1759631322814986</v>
      </c>
      <c r="X409" s="2">
        <f t="shared" si="109"/>
        <v>0.16317383333522942</v>
      </c>
      <c r="Y409" s="2">
        <f t="shared" si="109"/>
        <v>0.14755771312200272</v>
      </c>
      <c r="Z409" s="2">
        <f t="shared" si="109"/>
        <v>0.12940316498019419</v>
      </c>
      <c r="AA409" s="2">
        <f t="shared" si="109"/>
        <v>0.10906087348110886</v>
      </c>
      <c r="AB409" s="2">
        <f t="shared" si="109"/>
        <v>34.734864317680298</v>
      </c>
      <c r="AC409" s="2">
        <f t="shared" si="109"/>
        <v>25.263397595571757</v>
      </c>
      <c r="AD409" s="2">
        <f t="shared" si="109"/>
        <v>15.33263915887585</v>
      </c>
      <c r="AE409" s="2">
        <f t="shared" si="109"/>
        <v>5.1522479709800519</v>
      </c>
      <c r="AF409" s="2"/>
    </row>
    <row r="410" spans="1:33">
      <c r="A410" s="16"/>
      <c r="B410" s="5" t="s">
        <v>1008</v>
      </c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3">
      <c r="A411" s="20" t="s">
        <v>875</v>
      </c>
      <c r="E411" s="12"/>
      <c r="F411" s="6"/>
      <c r="G411" s="19">
        <f>(SUM(H411:AE411)+24*$Q$24)/48</f>
        <v>255.33791204400003</v>
      </c>
      <c r="H411" s="2">
        <f>$Q$24*(1-H$27)</f>
        <v>340.45054939200003</v>
      </c>
      <c r="I411" s="2">
        <f t="shared" ref="I411:AE411" si="110">$Q$24*(1-I$27)</f>
        <v>340.45054939200003</v>
      </c>
      <c r="J411" s="2">
        <f t="shared" si="110"/>
        <v>340.45054939200003</v>
      </c>
      <c r="K411" s="2">
        <f t="shared" si="110"/>
        <v>340.45054939200003</v>
      </c>
      <c r="L411" s="2">
        <f t="shared" si="110"/>
        <v>340.45054939200003</v>
      </c>
      <c r="M411" s="2">
        <f t="shared" si="110"/>
        <v>340.45054939200003</v>
      </c>
      <c r="N411" s="2">
        <f t="shared" si="110"/>
        <v>340.45054939200003</v>
      </c>
      <c r="O411" s="2">
        <f t="shared" si="110"/>
        <v>340.45054939200003</v>
      </c>
      <c r="P411" s="2">
        <f t="shared" si="110"/>
        <v>0</v>
      </c>
      <c r="Q411" s="2">
        <f t="shared" si="110"/>
        <v>0</v>
      </c>
      <c r="R411" s="2">
        <f t="shared" si="110"/>
        <v>0</v>
      </c>
      <c r="S411" s="2">
        <f t="shared" si="110"/>
        <v>0</v>
      </c>
      <c r="T411" s="2">
        <f t="shared" si="110"/>
        <v>0</v>
      </c>
      <c r="U411" s="2">
        <f t="shared" si="110"/>
        <v>0</v>
      </c>
      <c r="V411" s="2">
        <f t="shared" si="110"/>
        <v>0</v>
      </c>
      <c r="W411" s="2">
        <f t="shared" si="110"/>
        <v>0</v>
      </c>
      <c r="X411" s="2">
        <f t="shared" si="110"/>
        <v>0</v>
      </c>
      <c r="Y411" s="2">
        <f t="shared" si="110"/>
        <v>0</v>
      </c>
      <c r="Z411" s="2">
        <f t="shared" si="110"/>
        <v>0</v>
      </c>
      <c r="AA411" s="2">
        <f t="shared" si="110"/>
        <v>0</v>
      </c>
      <c r="AB411" s="2">
        <f t="shared" si="110"/>
        <v>340.45054939200003</v>
      </c>
      <c r="AC411" s="2">
        <f t="shared" si="110"/>
        <v>340.45054939200003</v>
      </c>
      <c r="AD411" s="2">
        <f t="shared" si="110"/>
        <v>340.45054939200003</v>
      </c>
      <c r="AE411" s="2">
        <f t="shared" si="110"/>
        <v>340.45054939200003</v>
      </c>
      <c r="AF411" s="2"/>
    </row>
    <row r="412" spans="1:33">
      <c r="A412" s="20"/>
      <c r="C412" s="5" t="s">
        <v>1007</v>
      </c>
      <c r="D412" t="s">
        <v>983</v>
      </c>
      <c r="E412" s="12"/>
      <c r="F412" s="6"/>
      <c r="G412" s="19"/>
      <c r="H412" s="2" t="s">
        <v>860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3">
      <c r="A413" s="20" t="s">
        <v>876</v>
      </c>
      <c r="E413" s="12">
        <f>$F$7</f>
        <v>-5</v>
      </c>
      <c r="F413" s="6" t="s">
        <v>558</v>
      </c>
      <c r="G413" s="19">
        <f>SUM(H413:AE413)/48</f>
        <v>73.51128940800001</v>
      </c>
      <c r="H413" s="2">
        <f t="shared" ref="H413:AE413" si="111">$M$9*($F$7+273)^4*H$27</f>
        <v>0</v>
      </c>
      <c r="I413" s="2">
        <f t="shared" si="111"/>
        <v>0</v>
      </c>
      <c r="J413" s="2">
        <f t="shared" si="111"/>
        <v>0</v>
      </c>
      <c r="K413" s="2">
        <f t="shared" si="111"/>
        <v>0</v>
      </c>
      <c r="L413" s="2">
        <f t="shared" si="111"/>
        <v>0</v>
      </c>
      <c r="M413" s="2">
        <f t="shared" si="111"/>
        <v>0</v>
      </c>
      <c r="N413" s="2">
        <f t="shared" si="111"/>
        <v>0</v>
      </c>
      <c r="O413" s="2">
        <f t="shared" si="111"/>
        <v>0</v>
      </c>
      <c r="P413" s="2">
        <f t="shared" si="111"/>
        <v>294.04515763199998</v>
      </c>
      <c r="Q413" s="2">
        <f t="shared" si="111"/>
        <v>294.04515763199998</v>
      </c>
      <c r="R413" s="2">
        <f t="shared" si="111"/>
        <v>294.04515763199998</v>
      </c>
      <c r="S413" s="2">
        <f t="shared" si="111"/>
        <v>294.04515763199998</v>
      </c>
      <c r="T413" s="2">
        <f t="shared" si="111"/>
        <v>294.04515763199998</v>
      </c>
      <c r="U413" s="2">
        <f t="shared" si="111"/>
        <v>294.04515763199998</v>
      </c>
      <c r="V413" s="2">
        <f t="shared" si="111"/>
        <v>294.04515763199998</v>
      </c>
      <c r="W413" s="2">
        <f t="shared" si="111"/>
        <v>294.04515763199998</v>
      </c>
      <c r="X413" s="2">
        <f t="shared" si="111"/>
        <v>294.04515763199998</v>
      </c>
      <c r="Y413" s="2">
        <f t="shared" si="111"/>
        <v>294.04515763199998</v>
      </c>
      <c r="Z413" s="2">
        <f t="shared" si="111"/>
        <v>294.04515763199998</v>
      </c>
      <c r="AA413" s="2">
        <f t="shared" si="111"/>
        <v>294.04515763199998</v>
      </c>
      <c r="AB413" s="2">
        <f t="shared" si="111"/>
        <v>0</v>
      </c>
      <c r="AC413" s="2">
        <f t="shared" si="111"/>
        <v>0</v>
      </c>
      <c r="AD413" s="2">
        <f t="shared" si="111"/>
        <v>0</v>
      </c>
      <c r="AE413" s="2">
        <f t="shared" si="111"/>
        <v>0</v>
      </c>
      <c r="AF413" s="2"/>
    </row>
    <row r="414" spans="1:33">
      <c r="A414" s="20"/>
      <c r="B414" t="s">
        <v>865</v>
      </c>
      <c r="D414" t="s">
        <v>743</v>
      </c>
      <c r="E414" s="30"/>
      <c r="F414" s="6"/>
      <c r="G414" s="19"/>
      <c r="H414" t="s">
        <v>617</v>
      </c>
      <c r="I414" s="2"/>
      <c r="K414" s="2" t="s">
        <v>860</v>
      </c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3">
      <c r="A415" s="20"/>
      <c r="B415" s="16" t="s">
        <v>724</v>
      </c>
      <c r="E415" s="30"/>
      <c r="F415" s="6"/>
      <c r="G415" s="32">
        <f>G407+G409+G411+G413</f>
        <v>456.34177528325017</v>
      </c>
      <c r="H415" s="3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3">
      <c r="A416" s="39" t="s">
        <v>508</v>
      </c>
      <c r="B416" s="16"/>
      <c r="E416" s="30"/>
      <c r="F416" s="6"/>
      <c r="G416" s="32"/>
      <c r="H416" s="3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3">
      <c r="A417" s="3" t="s">
        <v>320</v>
      </c>
      <c r="E417" s="12"/>
      <c r="F417" s="6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3">
      <c r="A418" s="3" t="s">
        <v>877</v>
      </c>
      <c r="G418" s="19">
        <f>SUM(H418:AE418)/48</f>
        <v>15.672149022852549</v>
      </c>
      <c r="H418" s="24">
        <f t="shared" ref="H418:AE418" si="112">H$65*H$376*$F$16</f>
        <v>18.919252636076209</v>
      </c>
      <c r="I418" s="24">
        <f t="shared" si="112"/>
        <v>28.290946545185314</v>
      </c>
      <c r="J418" s="24">
        <f t="shared" si="112"/>
        <v>30.475593148084386</v>
      </c>
      <c r="K418" s="24">
        <f t="shared" si="112"/>
        <v>31.870403554760689</v>
      </c>
      <c r="L418" s="24">
        <f t="shared" si="112"/>
        <v>33.001846930530277</v>
      </c>
      <c r="M418" s="24">
        <f t="shared" si="112"/>
        <v>32.742965614330338</v>
      </c>
      <c r="N418" s="24">
        <f t="shared" si="112"/>
        <v>33.044094125316747</v>
      </c>
      <c r="O418" s="24">
        <f t="shared" si="112"/>
        <v>33.40011097897488</v>
      </c>
      <c r="P418" s="24">
        <f t="shared" si="112"/>
        <v>33.489717407628852</v>
      </c>
      <c r="Q418" s="24">
        <f t="shared" si="112"/>
        <v>33.655187234317623</v>
      </c>
      <c r="R418" s="24">
        <f t="shared" si="112"/>
        <v>33.64324333940521</v>
      </c>
      <c r="S418" s="24">
        <f t="shared" si="112"/>
        <v>33.59821503385065</v>
      </c>
      <c r="T418" s="24">
        <f t="shared" si="112"/>
        <v>33.59821503385065</v>
      </c>
      <c r="U418" s="24">
        <f t="shared" si="112"/>
        <v>33.64324333940521</v>
      </c>
      <c r="V418" s="24">
        <f t="shared" si="112"/>
        <v>33.655187234317623</v>
      </c>
      <c r="W418" s="24">
        <f t="shared" si="112"/>
        <v>33.489717407628852</v>
      </c>
      <c r="X418" s="24">
        <f t="shared" si="112"/>
        <v>33.40011097897488</v>
      </c>
      <c r="Y418" s="24">
        <f t="shared" si="112"/>
        <v>33.044094125316747</v>
      </c>
      <c r="Z418" s="24">
        <f t="shared" si="112"/>
        <v>32.742965614330338</v>
      </c>
      <c r="AA418" s="24">
        <f t="shared" si="112"/>
        <v>33.001846930530277</v>
      </c>
      <c r="AB418" s="24">
        <f t="shared" si="112"/>
        <v>31.870403554760689</v>
      </c>
      <c r="AC418" s="24">
        <f t="shared" si="112"/>
        <v>30.475593148084386</v>
      </c>
      <c r="AD418" s="24">
        <f t="shared" si="112"/>
        <v>28.290946545185314</v>
      </c>
      <c r="AE418" s="24">
        <f t="shared" si="112"/>
        <v>18.919252636076209</v>
      </c>
      <c r="AF418" s="2"/>
    </row>
    <row r="419" spans="1:33">
      <c r="B419" s="5" t="s">
        <v>987</v>
      </c>
      <c r="D419" t="s">
        <v>1012</v>
      </c>
      <c r="H419" t="s">
        <v>866</v>
      </c>
      <c r="J419" s="2"/>
      <c r="K419" s="2"/>
      <c r="L419" t="s">
        <v>990</v>
      </c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3">
      <c r="A420" t="s">
        <v>879</v>
      </c>
      <c r="C420" s="11"/>
      <c r="G420" s="98">
        <f>SUM(H420:AE420)/48</f>
        <v>234.05791470714857</v>
      </c>
      <c r="H420" s="97">
        <f t="shared" ref="H420:AE420" si="113">H$65*(1-($F$16+$F$13)*H$376)</f>
        <v>32.224842021002779</v>
      </c>
      <c r="I420" s="97">
        <f t="shared" si="113"/>
        <v>124.46962611266947</v>
      </c>
      <c r="J420" s="97">
        <f t="shared" si="113"/>
        <v>221.54887094467148</v>
      </c>
      <c r="K420" s="97">
        <f t="shared" si="113"/>
        <v>314.84083155094709</v>
      </c>
      <c r="L420" s="97">
        <f t="shared" si="113"/>
        <v>402.58161005529382</v>
      </c>
      <c r="M420" s="97">
        <f t="shared" si="113"/>
        <v>484.21483499415893</v>
      </c>
      <c r="N420" s="97">
        <f t="shared" si="113"/>
        <v>556.52587648018675</v>
      </c>
      <c r="O420" s="97">
        <f t="shared" si="113"/>
        <v>618.62722014236215</v>
      </c>
      <c r="P420" s="97">
        <f t="shared" si="113"/>
        <v>669.69301737021169</v>
      </c>
      <c r="Q420" s="97">
        <f t="shared" si="113"/>
        <v>708.79204620960411</v>
      </c>
      <c r="R420" s="97">
        <f t="shared" si="113"/>
        <v>735.23542939643835</v>
      </c>
      <c r="S420" s="97">
        <f t="shared" si="113"/>
        <v>748.63574769401851</v>
      </c>
      <c r="T420" s="97">
        <f t="shared" si="113"/>
        <v>748.63574769401851</v>
      </c>
      <c r="U420" s="97">
        <f t="shared" si="113"/>
        <v>735.23542939643835</v>
      </c>
      <c r="V420" s="97">
        <f t="shared" si="113"/>
        <v>708.79204620960411</v>
      </c>
      <c r="W420" s="97">
        <f t="shared" si="113"/>
        <v>669.69301737021169</v>
      </c>
      <c r="X420" s="97">
        <f t="shared" si="113"/>
        <v>618.62722014236215</v>
      </c>
      <c r="Y420" s="97">
        <f t="shared" si="113"/>
        <v>556.52587648018675</v>
      </c>
      <c r="Z420" s="97">
        <f t="shared" si="113"/>
        <v>484.21483499415893</v>
      </c>
      <c r="AA420" s="97">
        <f t="shared" si="113"/>
        <v>402.58161005529382</v>
      </c>
      <c r="AB420" s="97">
        <f t="shared" si="113"/>
        <v>314.84083155094709</v>
      </c>
      <c r="AC420" s="97">
        <f t="shared" si="113"/>
        <v>221.54887094467148</v>
      </c>
      <c r="AD420" s="97">
        <f t="shared" si="113"/>
        <v>124.46962611266947</v>
      </c>
      <c r="AE420" s="97">
        <f t="shared" si="113"/>
        <v>32.224842021002779</v>
      </c>
      <c r="AF420" s="28"/>
      <c r="AG420" s="11"/>
    </row>
    <row r="421" spans="1:33">
      <c r="B421" s="24" t="s">
        <v>989</v>
      </c>
      <c r="D421" s="2" t="s">
        <v>992</v>
      </c>
      <c r="E421" s="106" t="s">
        <v>970</v>
      </c>
      <c r="G421" t="s">
        <v>853</v>
      </c>
      <c r="I421" t="s">
        <v>990</v>
      </c>
      <c r="AF421" s="28"/>
      <c r="AG421" s="11"/>
    </row>
    <row r="422" spans="1:33">
      <c r="A422" t="s">
        <v>878</v>
      </c>
      <c r="C422" s="11"/>
      <c r="D422" s="24"/>
      <c r="G422" s="97">
        <f>SUM(H422:AE422)/48</f>
        <v>120.73906675837168</v>
      </c>
      <c r="H422" s="97">
        <f>H420*($Q$20*(1-H$27)+$F$15*H$27)</f>
        <v>3.222484202100278</v>
      </c>
      <c r="I422" s="97">
        <f t="shared" ref="I422:AE422" si="114">I420*($Q$20*(1-I$27)+$F$15*I$27)</f>
        <v>12.446962611266947</v>
      </c>
      <c r="J422" s="97">
        <f t="shared" si="114"/>
        <v>22.154887094467149</v>
      </c>
      <c r="K422" s="97">
        <f t="shared" si="114"/>
        <v>31.484083155094709</v>
      </c>
      <c r="L422" s="97">
        <f t="shared" si="114"/>
        <v>40.258161005529388</v>
      </c>
      <c r="M422" s="97">
        <f t="shared" si="114"/>
        <v>48.421483499415899</v>
      </c>
      <c r="N422" s="97">
        <f t="shared" si="114"/>
        <v>55.652587648018681</v>
      </c>
      <c r="O422" s="97">
        <f t="shared" si="114"/>
        <v>61.862722014236219</v>
      </c>
      <c r="P422" s="97">
        <f t="shared" si="114"/>
        <v>468.78511215914813</v>
      </c>
      <c r="Q422" s="97">
        <f t="shared" si="114"/>
        <v>496.15443234672284</v>
      </c>
      <c r="R422" s="97">
        <f t="shared" si="114"/>
        <v>514.66480057750687</v>
      </c>
      <c r="S422" s="97">
        <f t="shared" si="114"/>
        <v>524.0450233858129</v>
      </c>
      <c r="T422" s="97">
        <f t="shared" si="114"/>
        <v>524.0450233858129</v>
      </c>
      <c r="U422" s="97">
        <f t="shared" si="114"/>
        <v>514.66480057750687</v>
      </c>
      <c r="V422" s="97">
        <f t="shared" si="114"/>
        <v>496.15443234672284</v>
      </c>
      <c r="W422" s="97">
        <f t="shared" si="114"/>
        <v>468.78511215914813</v>
      </c>
      <c r="X422" s="97">
        <f t="shared" si="114"/>
        <v>433.03905409965347</v>
      </c>
      <c r="Y422" s="97">
        <f t="shared" si="114"/>
        <v>389.56811353613068</v>
      </c>
      <c r="Z422" s="97">
        <f t="shared" si="114"/>
        <v>338.95038449591124</v>
      </c>
      <c r="AA422" s="97">
        <f t="shared" si="114"/>
        <v>281.80712703870563</v>
      </c>
      <c r="AB422" s="97">
        <f t="shared" si="114"/>
        <v>31.484083155094709</v>
      </c>
      <c r="AC422" s="97">
        <f t="shared" si="114"/>
        <v>22.154887094467149</v>
      </c>
      <c r="AD422" s="97">
        <f t="shared" si="114"/>
        <v>12.446962611266947</v>
      </c>
      <c r="AE422" s="97">
        <f t="shared" si="114"/>
        <v>3.222484202100278</v>
      </c>
      <c r="AF422" s="28"/>
      <c r="AG422" s="11"/>
    </row>
    <row r="423" spans="1:33">
      <c r="B423" s="24" t="s">
        <v>917</v>
      </c>
      <c r="D423" s="14" t="s">
        <v>1002</v>
      </c>
      <c r="G423" t="s">
        <v>888</v>
      </c>
      <c r="I423" s="24" t="s">
        <v>1045</v>
      </c>
      <c r="M423" s="2" t="s">
        <v>860</v>
      </c>
      <c r="AF423" s="28"/>
      <c r="AG423" s="11"/>
    </row>
    <row r="424" spans="1:33" ht="18">
      <c r="A424" s="20" t="s">
        <v>881</v>
      </c>
      <c r="G424" s="19">
        <f>SUM(H424:AE424)/48</f>
        <v>108.01507520235172</v>
      </c>
      <c r="H424" s="2">
        <f t="shared" ref="H424:AE424" si="115">H$65*H$27*$F$15*(1-H$376*$F$16)*(1-$H$377*$F$16)</f>
        <v>0</v>
      </c>
      <c r="I424" s="2">
        <f t="shared" si="115"/>
        <v>0</v>
      </c>
      <c r="J424" s="2">
        <f t="shared" si="115"/>
        <v>0</v>
      </c>
      <c r="K424" s="2">
        <f t="shared" si="115"/>
        <v>0</v>
      </c>
      <c r="L424" s="2">
        <f t="shared" si="115"/>
        <v>0</v>
      </c>
      <c r="M424" s="2">
        <f t="shared" si="115"/>
        <v>0</v>
      </c>
      <c r="N424" s="2">
        <f t="shared" si="115"/>
        <v>0</v>
      </c>
      <c r="O424" s="2">
        <f t="shared" si="115"/>
        <v>0</v>
      </c>
      <c r="P424" s="2">
        <f t="shared" si="115"/>
        <v>445.89968236010793</v>
      </c>
      <c r="Q424" s="2">
        <f t="shared" si="115"/>
        <v>471.90906100425343</v>
      </c>
      <c r="R424" s="2">
        <f t="shared" si="115"/>
        <v>489.49802841390567</v>
      </c>
      <c r="S424" s="2">
        <f t="shared" si="115"/>
        <v>498.41080818902026</v>
      </c>
      <c r="T424" s="2">
        <f t="shared" si="115"/>
        <v>498.41080818902026</v>
      </c>
      <c r="U424" s="2">
        <f t="shared" si="115"/>
        <v>489.49802841390567</v>
      </c>
      <c r="V424" s="2">
        <f t="shared" si="115"/>
        <v>471.90906100425343</v>
      </c>
      <c r="W424" s="2">
        <f t="shared" si="115"/>
        <v>445.89968236010793</v>
      </c>
      <c r="X424" s="2">
        <f t="shared" si="115"/>
        <v>411.93147667376388</v>
      </c>
      <c r="Y424" s="2">
        <f t="shared" si="115"/>
        <v>370.61930379509585</v>
      </c>
      <c r="Z424" s="2">
        <f t="shared" si="115"/>
        <v>322.51676092097858</v>
      </c>
      <c r="AA424" s="2">
        <f t="shared" si="115"/>
        <v>268.22090838847026</v>
      </c>
      <c r="AB424" s="2">
        <f t="shared" si="115"/>
        <v>0</v>
      </c>
      <c r="AC424" s="2">
        <f t="shared" si="115"/>
        <v>0</v>
      </c>
      <c r="AD424" s="2">
        <f t="shared" si="115"/>
        <v>0</v>
      </c>
      <c r="AE424" s="2">
        <f t="shared" si="115"/>
        <v>0</v>
      </c>
      <c r="AF424" s="2"/>
    </row>
    <row r="425" spans="1:33">
      <c r="B425" s="5" t="s">
        <v>985</v>
      </c>
      <c r="C425" s="11"/>
      <c r="D425" t="s">
        <v>772</v>
      </c>
      <c r="E425" s="12"/>
      <c r="F425" s="18"/>
      <c r="G425" s="2" t="s">
        <v>860</v>
      </c>
      <c r="I425" s="2" t="s">
        <v>867</v>
      </c>
      <c r="K425" s="9"/>
      <c r="AF425" s="2"/>
    </row>
    <row r="426" spans="1:33">
      <c r="A426" s="11" t="s">
        <v>568</v>
      </c>
      <c r="B426" t="s">
        <v>883</v>
      </c>
      <c r="C426" s="11"/>
      <c r="E426" s="12"/>
      <c r="F426" s="18"/>
      <c r="G426" s="2" t="s">
        <v>995</v>
      </c>
      <c r="H426" s="2"/>
      <c r="J426" t="s">
        <v>868</v>
      </c>
      <c r="AF426" s="2"/>
    </row>
    <row r="427" spans="1:33">
      <c r="A427" s="11"/>
      <c r="B427" t="s">
        <v>996</v>
      </c>
      <c r="C427" s="11"/>
      <c r="E427" s="12"/>
      <c r="F427" s="18"/>
      <c r="G427" s="19"/>
      <c r="I427" s="12" t="s">
        <v>858</v>
      </c>
      <c r="K427" s="11"/>
      <c r="AF427" s="2"/>
    </row>
    <row r="428" spans="1:33">
      <c r="A428" s="11"/>
      <c r="B428" s="2" t="s">
        <v>997</v>
      </c>
      <c r="C428" s="11"/>
      <c r="E428" s="12"/>
      <c r="F428" s="18"/>
      <c r="G428" s="19"/>
      <c r="H428" s="2"/>
      <c r="K428" s="11"/>
      <c r="L428" s="12"/>
      <c r="AF428" s="2"/>
    </row>
    <row r="429" spans="1:33" ht="18">
      <c r="A429" s="20" t="s">
        <v>882</v>
      </c>
      <c r="G429" s="19">
        <f>SUM(H429:AE429)/48</f>
        <v>6.8785454865753159</v>
      </c>
      <c r="H429" s="2">
        <f t="shared" ref="H429:AE429" si="116">H$65*$Q$20*H$28^2*(1-H$376*$F$16)*(1-$H$377*$F$16)</f>
        <v>3.0980598100778494</v>
      </c>
      <c r="I429" s="2">
        <f t="shared" si="116"/>
        <v>11.881255994958853</v>
      </c>
      <c r="J429" s="2">
        <f t="shared" si="116"/>
        <v>21.110178930812122</v>
      </c>
      <c r="K429" s="2">
        <f t="shared" si="116"/>
        <v>29.977721313202274</v>
      </c>
      <c r="L429" s="2">
        <f t="shared" si="116"/>
        <v>38.317272626924336</v>
      </c>
      <c r="M429" s="2">
        <f t="shared" si="116"/>
        <v>46.073822988711235</v>
      </c>
      <c r="N429" s="2">
        <f t="shared" si="116"/>
        <v>52.945614827870834</v>
      </c>
      <c r="O429" s="2">
        <f t="shared" si="116"/>
        <v>58.847353810537705</v>
      </c>
      <c r="P429" s="2">
        <f t="shared" si="116"/>
        <v>0.1592498865571817</v>
      </c>
      <c r="Q429" s="2">
        <f t="shared" si="116"/>
        <v>0.16853895035866229</v>
      </c>
      <c r="R429" s="2">
        <f t="shared" si="116"/>
        <v>0.17482072443353802</v>
      </c>
      <c r="S429" s="2">
        <f t="shared" si="116"/>
        <v>0.17800386006750757</v>
      </c>
      <c r="T429" s="2">
        <f t="shared" si="116"/>
        <v>0.17800386006750757</v>
      </c>
      <c r="U429" s="2">
        <f t="shared" si="116"/>
        <v>0.17482072443353802</v>
      </c>
      <c r="V429" s="2">
        <f t="shared" si="116"/>
        <v>0.16853895035866229</v>
      </c>
      <c r="W429" s="2">
        <f t="shared" si="116"/>
        <v>0.1592498865571817</v>
      </c>
      <c r="X429" s="2">
        <f t="shared" si="116"/>
        <v>0.14711838452634454</v>
      </c>
      <c r="Y429" s="2">
        <f t="shared" si="116"/>
        <v>0.13236403706967731</v>
      </c>
      <c r="Z429" s="2">
        <f t="shared" si="116"/>
        <v>0.11518455747177829</v>
      </c>
      <c r="AA429" s="2">
        <f t="shared" si="116"/>
        <v>9.5793181567310981E-2</v>
      </c>
      <c r="AB429" s="2">
        <f t="shared" si="116"/>
        <v>29.977721313202274</v>
      </c>
      <c r="AC429" s="2">
        <f t="shared" si="116"/>
        <v>21.110178930812122</v>
      </c>
      <c r="AD429" s="2">
        <f t="shared" si="116"/>
        <v>11.881255994958853</v>
      </c>
      <c r="AE429" s="2">
        <f t="shared" si="116"/>
        <v>3.0980598100778494</v>
      </c>
      <c r="AF429" s="2"/>
    </row>
    <row r="430" spans="1:33">
      <c r="A430" s="14"/>
      <c r="B430" s="5" t="s">
        <v>1008</v>
      </c>
      <c r="G430" s="2"/>
      <c r="H430" s="2"/>
      <c r="I430" s="2"/>
      <c r="J430" s="10"/>
      <c r="K430" s="9"/>
      <c r="AF430" s="2"/>
    </row>
    <row r="431" spans="1:33">
      <c r="A431" s="11" t="s">
        <v>568</v>
      </c>
      <c r="B431" t="s">
        <v>726</v>
      </c>
      <c r="C431" s="11"/>
      <c r="E431" s="12"/>
      <c r="F431" s="18"/>
      <c r="G431" s="2" t="s">
        <v>995</v>
      </c>
      <c r="H431" s="2"/>
      <c r="J431" s="11"/>
      <c r="K431" t="s">
        <v>868</v>
      </c>
      <c r="M431" s="10"/>
      <c r="N431" s="10"/>
      <c r="AF431" s="2"/>
    </row>
    <row r="432" spans="1:33">
      <c r="A432" s="11"/>
      <c r="B432" t="s">
        <v>996</v>
      </c>
      <c r="C432" s="11"/>
      <c r="E432" s="12"/>
      <c r="F432" s="18"/>
      <c r="G432" s="19"/>
      <c r="H432" s="2"/>
      <c r="J432" s="11"/>
      <c r="M432" s="10"/>
      <c r="N432" s="10"/>
      <c r="AF432" s="2"/>
    </row>
    <row r="433" spans="1:33">
      <c r="A433" t="s">
        <v>834</v>
      </c>
      <c r="B433" s="5"/>
      <c r="C433" s="11"/>
      <c r="D433" s="5" t="s">
        <v>1003</v>
      </c>
      <c r="F433" t="s">
        <v>1046</v>
      </c>
      <c r="G433" s="97">
        <f>SUM(H433:AE433)/48</f>
        <v>6.0090587795361161</v>
      </c>
      <c r="H433" s="97">
        <f t="shared" ref="H433:AE433" si="117">H422*$H$377*$F$16</f>
        <v>0.16037971392721961</v>
      </c>
      <c r="I433" s="97">
        <f t="shared" si="117"/>
        <v>0.61947248695795842</v>
      </c>
      <c r="J433" s="97">
        <f t="shared" si="117"/>
        <v>1.1026258722958735</v>
      </c>
      <c r="K433" s="97">
        <f t="shared" si="117"/>
        <v>1.5669303347969539</v>
      </c>
      <c r="L433" s="97">
        <f t="shared" si="117"/>
        <v>2.0036071367222279</v>
      </c>
      <c r="M433" s="97">
        <f t="shared" si="117"/>
        <v>2.4098872747014473</v>
      </c>
      <c r="N433" s="97">
        <f t="shared" si="117"/>
        <v>2.7697718674560021</v>
      </c>
      <c r="O433" s="97">
        <f t="shared" si="117"/>
        <v>3.0788438475310098</v>
      </c>
      <c r="P433" s="97">
        <f t="shared" si="117"/>
        <v>23.33095136119589</v>
      </c>
      <c r="Q433" s="97">
        <f t="shared" si="117"/>
        <v>24.693094188522966</v>
      </c>
      <c r="R433" s="97">
        <f t="shared" si="117"/>
        <v>25.614336117220638</v>
      </c>
      <c r="S433" s="97">
        <f t="shared" si="117"/>
        <v>26.08118012830662</v>
      </c>
      <c r="T433" s="97">
        <f t="shared" si="117"/>
        <v>26.08118012830662</v>
      </c>
      <c r="U433" s="97">
        <f t="shared" si="117"/>
        <v>25.614336117220638</v>
      </c>
      <c r="V433" s="97">
        <f t="shared" si="117"/>
        <v>24.693094188522966</v>
      </c>
      <c r="W433" s="97">
        <f t="shared" si="117"/>
        <v>23.33095136119589</v>
      </c>
      <c r="X433" s="97">
        <f t="shared" si="117"/>
        <v>21.551906932717063</v>
      </c>
      <c r="Y433" s="97">
        <f t="shared" si="117"/>
        <v>19.388403072192009</v>
      </c>
      <c r="Z433" s="97">
        <f t="shared" si="117"/>
        <v>16.869210922910128</v>
      </c>
      <c r="AA433" s="97">
        <f t="shared" si="117"/>
        <v>14.025249957055591</v>
      </c>
      <c r="AB433" s="97">
        <f t="shared" si="117"/>
        <v>1.5669303347969539</v>
      </c>
      <c r="AC433" s="97">
        <f t="shared" si="117"/>
        <v>1.1026258722958735</v>
      </c>
      <c r="AD433" s="97">
        <f t="shared" si="117"/>
        <v>0.61947248695795842</v>
      </c>
      <c r="AE433" s="97">
        <f t="shared" si="117"/>
        <v>0.16037971392721961</v>
      </c>
      <c r="AF433" s="28"/>
      <c r="AG433" s="11"/>
    </row>
    <row r="434" spans="1:33">
      <c r="A434" t="s">
        <v>918</v>
      </c>
      <c r="B434" s="5"/>
      <c r="C434" s="11"/>
      <c r="D434" s="104" t="s">
        <v>1093</v>
      </c>
      <c r="G434" s="97">
        <f>SUM(H434:AE434)/48</f>
        <v>3.9918295588956991</v>
      </c>
      <c r="H434" s="97">
        <f>H433*($Q$20*(1-H$27)+$F$15*H$27)</f>
        <v>1.6037971392721961E-2</v>
      </c>
      <c r="I434" s="97">
        <f t="shared" ref="I434:AE434" si="118">I433*($Q$20*(1-I$27)+$F$15*I$27)</f>
        <v>6.1947248695795848E-2</v>
      </c>
      <c r="J434" s="97">
        <f t="shared" si="118"/>
        <v>0.11026258722958736</v>
      </c>
      <c r="K434" s="97">
        <f t="shared" si="118"/>
        <v>0.1566930334796954</v>
      </c>
      <c r="L434" s="97">
        <f t="shared" si="118"/>
        <v>0.2003607136722228</v>
      </c>
      <c r="M434" s="97">
        <f t="shared" si="118"/>
        <v>0.24098872747014474</v>
      </c>
      <c r="N434" s="97">
        <f t="shared" si="118"/>
        <v>0.27697718674560023</v>
      </c>
      <c r="O434" s="97">
        <f t="shared" si="118"/>
        <v>0.30788438475310098</v>
      </c>
      <c r="P434" s="97">
        <f t="shared" si="118"/>
        <v>16.33166595283712</v>
      </c>
      <c r="Q434" s="97">
        <f t="shared" si="118"/>
        <v>17.285165931966077</v>
      </c>
      <c r="R434" s="97">
        <f t="shared" si="118"/>
        <v>17.930035282054444</v>
      </c>
      <c r="S434" s="97">
        <f t="shared" si="118"/>
        <v>18.256826089814634</v>
      </c>
      <c r="T434" s="97">
        <f t="shared" si="118"/>
        <v>18.256826089814634</v>
      </c>
      <c r="U434" s="97">
        <f t="shared" si="118"/>
        <v>17.930035282054444</v>
      </c>
      <c r="V434" s="97">
        <f t="shared" si="118"/>
        <v>17.285165931966077</v>
      </c>
      <c r="W434" s="97">
        <f t="shared" si="118"/>
        <v>16.33166595283712</v>
      </c>
      <c r="X434" s="97">
        <f t="shared" si="118"/>
        <v>15.086334852901944</v>
      </c>
      <c r="Y434" s="97">
        <f t="shared" si="118"/>
        <v>13.571882150534405</v>
      </c>
      <c r="Z434" s="97">
        <f t="shared" si="118"/>
        <v>11.808447646037088</v>
      </c>
      <c r="AA434" s="97">
        <f t="shared" si="118"/>
        <v>9.8176749699389134</v>
      </c>
      <c r="AB434" s="97">
        <f t="shared" si="118"/>
        <v>0.1566930334796954</v>
      </c>
      <c r="AC434" s="97">
        <f t="shared" si="118"/>
        <v>0.11026258722958736</v>
      </c>
      <c r="AD434" s="97">
        <f t="shared" si="118"/>
        <v>6.1947248695795848E-2</v>
      </c>
      <c r="AE434" s="97">
        <f t="shared" si="118"/>
        <v>1.6037971392721961E-2</v>
      </c>
      <c r="AF434" s="28"/>
      <c r="AG434" s="11"/>
    </row>
    <row r="435" spans="1:33">
      <c r="A435" s="20" t="s">
        <v>835</v>
      </c>
      <c r="B435" s="5"/>
      <c r="C435" s="11"/>
      <c r="G435" s="19">
        <f>SUM(H435:AE435)/48</f>
        <v>3.78918693556481</v>
      </c>
      <c r="H435" s="24">
        <f t="shared" ref="H435:AE435" si="119">H434*(1-($F$16+$F$13)*$H$377)</f>
        <v>1.5223814237969587E-2</v>
      </c>
      <c r="I435" s="24">
        <f t="shared" si="119"/>
        <v>5.880253702946913E-2</v>
      </c>
      <c r="J435" s="24">
        <f t="shared" si="119"/>
        <v>0.10466517892299726</v>
      </c>
      <c r="K435" s="24">
        <f t="shared" si="119"/>
        <v>0.14873861385993975</v>
      </c>
      <c r="L435" s="24">
        <f t="shared" si="119"/>
        <v>0.19018953275581599</v>
      </c>
      <c r="M435" s="24">
        <f t="shared" si="119"/>
        <v>0.22875509193856342</v>
      </c>
      <c r="N435" s="24">
        <f t="shared" si="119"/>
        <v>0.26291662055738219</v>
      </c>
      <c r="O435" s="24">
        <f t="shared" si="119"/>
        <v>0.29225483482155401</v>
      </c>
      <c r="P435" s="24">
        <f t="shared" si="119"/>
        <v>15.502599585343656</v>
      </c>
      <c r="Q435" s="24">
        <f t="shared" si="119"/>
        <v>16.407695760085211</v>
      </c>
      <c r="R435" s="24">
        <f t="shared" si="119"/>
        <v>17.019828738322133</v>
      </c>
      <c r="S435" s="24">
        <f t="shared" si="119"/>
        <v>17.330030223921167</v>
      </c>
      <c r="T435" s="24">
        <f t="shared" si="119"/>
        <v>17.330030223921167</v>
      </c>
      <c r="U435" s="24">
        <f t="shared" si="119"/>
        <v>17.019828738322133</v>
      </c>
      <c r="V435" s="24">
        <f t="shared" si="119"/>
        <v>16.407695760085211</v>
      </c>
      <c r="W435" s="24">
        <f t="shared" si="119"/>
        <v>15.502599585343656</v>
      </c>
      <c r="X435" s="24">
        <f t="shared" si="119"/>
        <v>14.320486906256143</v>
      </c>
      <c r="Y435" s="24">
        <f t="shared" si="119"/>
        <v>12.88291440731172</v>
      </c>
      <c r="Z435" s="24">
        <f t="shared" si="119"/>
        <v>11.208999504989603</v>
      </c>
      <c r="AA435" s="24">
        <f t="shared" si="119"/>
        <v>9.319287105034979</v>
      </c>
      <c r="AB435" s="24">
        <f t="shared" si="119"/>
        <v>0.14873861385993975</v>
      </c>
      <c r="AC435" s="24">
        <f t="shared" si="119"/>
        <v>0.10466517892299726</v>
      </c>
      <c r="AD435" s="24">
        <f t="shared" si="119"/>
        <v>5.880253702946913E-2</v>
      </c>
      <c r="AE435" s="24">
        <f t="shared" si="119"/>
        <v>1.5223814237969587E-2</v>
      </c>
      <c r="AF435" s="28"/>
      <c r="AG435" s="11"/>
    </row>
    <row r="436" spans="1:33">
      <c r="A436" s="20"/>
      <c r="B436" s="24" t="s">
        <v>1047</v>
      </c>
      <c r="C436" s="11"/>
      <c r="G436" s="19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8"/>
      <c r="AG436" s="11"/>
    </row>
    <row r="437" spans="1:33">
      <c r="A437" s="100" t="s">
        <v>836</v>
      </c>
      <c r="B437" s="5"/>
      <c r="C437" s="11"/>
      <c r="G437" s="19">
        <f>SUM(H437:AE437)/48</f>
        <v>0.1306767191380612</v>
      </c>
      <c r="H437" s="2">
        <f>H435^2/(H424+H429)</f>
        <v>7.4809569265992209E-5</v>
      </c>
      <c r="I437" s="2">
        <f t="shared" ref="I437:AE437" si="120">I435^2/(I424+I429)</f>
        <v>2.9102464946207594E-4</v>
      </c>
      <c r="J437" s="2">
        <f t="shared" si="120"/>
        <v>5.1893447776482637E-4</v>
      </c>
      <c r="K437" s="2">
        <f t="shared" si="120"/>
        <v>7.3798722130468102E-4</v>
      </c>
      <c r="L437" s="2">
        <f t="shared" si="120"/>
        <v>9.4401443239617851E-4</v>
      </c>
      <c r="M437" s="2">
        <f t="shared" si="120"/>
        <v>1.1357618858899975E-3</v>
      </c>
      <c r="N437" s="2">
        <f t="shared" si="120"/>
        <v>1.3055878110027474E-3</v>
      </c>
      <c r="O437" s="2">
        <f t="shared" si="120"/>
        <v>1.4514312529933853E-3</v>
      </c>
      <c r="P437" s="2">
        <f t="shared" si="120"/>
        <v>0.53878664124720954</v>
      </c>
      <c r="Q437" s="2">
        <f t="shared" si="120"/>
        <v>0.57027166758473957</v>
      </c>
      <c r="R437" s="2">
        <f t="shared" si="120"/>
        <v>0.59156755534138061</v>
      </c>
      <c r="S437" s="2">
        <f t="shared" si="120"/>
        <v>0.60235998141982494</v>
      </c>
      <c r="T437" s="2">
        <f t="shared" si="120"/>
        <v>0.60235998141982494</v>
      </c>
      <c r="U437" s="2">
        <f t="shared" si="120"/>
        <v>0.59156755534138061</v>
      </c>
      <c r="V437" s="2">
        <f t="shared" si="120"/>
        <v>0.57027166758473957</v>
      </c>
      <c r="W437" s="2">
        <f t="shared" si="120"/>
        <v>0.53878664124720954</v>
      </c>
      <c r="X437" s="2">
        <f t="shared" si="120"/>
        <v>0.49766318292568618</v>
      </c>
      <c r="Y437" s="2">
        <f t="shared" si="120"/>
        <v>0.44765674176616815</v>
      </c>
      <c r="Z437" s="2">
        <f t="shared" si="120"/>
        <v>0.38942724570109</v>
      </c>
      <c r="AA437" s="2">
        <f t="shared" si="120"/>
        <v>0.3236813498298069</v>
      </c>
      <c r="AB437" s="2">
        <f t="shared" si="120"/>
        <v>7.3798722130468102E-4</v>
      </c>
      <c r="AC437" s="2">
        <f t="shared" si="120"/>
        <v>5.1893447776482637E-4</v>
      </c>
      <c r="AD437" s="2">
        <f t="shared" si="120"/>
        <v>2.9102464946207594E-4</v>
      </c>
      <c r="AE437" s="2">
        <f t="shared" si="120"/>
        <v>7.4809569265992209E-5</v>
      </c>
      <c r="AF437" s="28"/>
      <c r="AG437" s="11"/>
    </row>
    <row r="438" spans="1:33" ht="18">
      <c r="A438" s="100"/>
      <c r="B438" s="24" t="s">
        <v>1048</v>
      </c>
      <c r="C438" s="11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8"/>
      <c r="AG438" s="11"/>
    </row>
    <row r="439" spans="1:33" ht="18">
      <c r="A439" s="20" t="s">
        <v>890</v>
      </c>
      <c r="G439" s="19">
        <f>(SUM(H439:AE439)+24*$Q$24*(1-$H$377))/48</f>
        <v>229.92210317101922</v>
      </c>
      <c r="H439" s="2">
        <f t="shared" ref="H439:AE439" si="121">$Q$24*(1-H$27)*(1-$H$377)</f>
        <v>306.56280422802564</v>
      </c>
      <c r="I439" s="2">
        <f t="shared" si="121"/>
        <v>306.56280422802564</v>
      </c>
      <c r="J439" s="2">
        <f t="shared" si="121"/>
        <v>306.56280422802564</v>
      </c>
      <c r="K439" s="2">
        <f t="shared" si="121"/>
        <v>306.56280422802564</v>
      </c>
      <c r="L439" s="2">
        <f t="shared" si="121"/>
        <v>306.56280422802564</v>
      </c>
      <c r="M439" s="2">
        <f t="shared" si="121"/>
        <v>306.56280422802564</v>
      </c>
      <c r="N439" s="2">
        <f t="shared" si="121"/>
        <v>306.56280422802564</v>
      </c>
      <c r="O439" s="2">
        <f t="shared" si="121"/>
        <v>306.56280422802564</v>
      </c>
      <c r="P439" s="2">
        <f t="shared" si="121"/>
        <v>0</v>
      </c>
      <c r="Q439" s="2">
        <f t="shared" si="121"/>
        <v>0</v>
      </c>
      <c r="R439" s="2">
        <f t="shared" si="121"/>
        <v>0</v>
      </c>
      <c r="S439" s="2">
        <f t="shared" si="121"/>
        <v>0</v>
      </c>
      <c r="T439" s="2">
        <f t="shared" si="121"/>
        <v>0</v>
      </c>
      <c r="U439" s="2">
        <f t="shared" si="121"/>
        <v>0</v>
      </c>
      <c r="V439" s="2">
        <f t="shared" si="121"/>
        <v>0</v>
      </c>
      <c r="W439" s="2">
        <f t="shared" si="121"/>
        <v>0</v>
      </c>
      <c r="X439" s="2">
        <f t="shared" si="121"/>
        <v>0</v>
      </c>
      <c r="Y439" s="2">
        <f t="shared" si="121"/>
        <v>0</v>
      </c>
      <c r="Z439" s="2">
        <f t="shared" si="121"/>
        <v>0</v>
      </c>
      <c r="AA439" s="2">
        <f t="shared" si="121"/>
        <v>0</v>
      </c>
      <c r="AB439" s="2">
        <f t="shared" si="121"/>
        <v>306.56280422802564</v>
      </c>
      <c r="AC439" s="2">
        <f t="shared" si="121"/>
        <v>306.56280422802564</v>
      </c>
      <c r="AD439" s="2">
        <f t="shared" si="121"/>
        <v>306.56280422802564</v>
      </c>
      <c r="AE439" s="2">
        <f t="shared" si="121"/>
        <v>306.56280422802564</v>
      </c>
      <c r="AF439" s="2"/>
    </row>
    <row r="440" spans="1:33">
      <c r="A440" s="14"/>
      <c r="B440" s="5" t="s">
        <v>1010</v>
      </c>
      <c r="D440" t="s">
        <v>1011</v>
      </c>
      <c r="E440" s="12"/>
      <c r="F440" s="6"/>
      <c r="G440" s="2" t="s">
        <v>860</v>
      </c>
      <c r="I440" s="2" t="s">
        <v>998</v>
      </c>
      <c r="J440" s="10"/>
      <c r="K440" s="9"/>
      <c r="AF440" s="2"/>
    </row>
    <row r="441" spans="1:33" ht="18">
      <c r="A441" s="20" t="s">
        <v>891</v>
      </c>
      <c r="D441" s="105" t="s">
        <v>892</v>
      </c>
      <c r="E441">
        <f>$F$7</f>
        <v>-5</v>
      </c>
      <c r="F441" s="5" t="s">
        <v>893</v>
      </c>
      <c r="G441" s="19">
        <f>SUM(H441:AE441)/48</f>
        <v>66.194127351477249</v>
      </c>
      <c r="H441" s="2">
        <f t="shared" ref="H441:AE441" si="122">$M$9*($F$7+273)^4*H$27*(1-$H$377)</f>
        <v>0</v>
      </c>
      <c r="I441" s="2">
        <f t="shared" si="122"/>
        <v>0</v>
      </c>
      <c r="J441" s="2">
        <f t="shared" si="122"/>
        <v>0</v>
      </c>
      <c r="K441" s="2">
        <f t="shared" si="122"/>
        <v>0</v>
      </c>
      <c r="L441" s="2">
        <f t="shared" si="122"/>
        <v>0</v>
      </c>
      <c r="M441" s="2">
        <f t="shared" si="122"/>
        <v>0</v>
      </c>
      <c r="N441" s="2">
        <f t="shared" si="122"/>
        <v>0</v>
      </c>
      <c r="O441" s="2">
        <f t="shared" si="122"/>
        <v>0</v>
      </c>
      <c r="P441" s="2">
        <f t="shared" si="122"/>
        <v>264.77650940590894</v>
      </c>
      <c r="Q441" s="2">
        <f t="shared" si="122"/>
        <v>264.77650940590894</v>
      </c>
      <c r="R441" s="2">
        <f t="shared" si="122"/>
        <v>264.77650940590894</v>
      </c>
      <c r="S441" s="2">
        <f t="shared" si="122"/>
        <v>264.77650940590894</v>
      </c>
      <c r="T441" s="2">
        <f t="shared" si="122"/>
        <v>264.77650940590894</v>
      </c>
      <c r="U441" s="2">
        <f t="shared" si="122"/>
        <v>264.77650940590894</v>
      </c>
      <c r="V441" s="2">
        <f t="shared" si="122"/>
        <v>264.77650940590894</v>
      </c>
      <c r="W441" s="2">
        <f t="shared" si="122"/>
        <v>264.77650940590894</v>
      </c>
      <c r="X441" s="2">
        <f t="shared" si="122"/>
        <v>264.77650940590894</v>
      </c>
      <c r="Y441" s="2">
        <f t="shared" si="122"/>
        <v>264.77650940590894</v>
      </c>
      <c r="Z441" s="2">
        <f t="shared" si="122"/>
        <v>264.77650940590894</v>
      </c>
      <c r="AA441" s="2">
        <f t="shared" si="122"/>
        <v>264.77650940590894</v>
      </c>
      <c r="AB441" s="2">
        <f t="shared" si="122"/>
        <v>0</v>
      </c>
      <c r="AC441" s="2">
        <f t="shared" si="122"/>
        <v>0</v>
      </c>
      <c r="AD441" s="2">
        <f t="shared" si="122"/>
        <v>0</v>
      </c>
      <c r="AE441" s="2">
        <f t="shared" si="122"/>
        <v>0</v>
      </c>
      <c r="AF441" s="2"/>
    </row>
    <row r="442" spans="1:33">
      <c r="A442" s="14"/>
      <c r="B442" t="s">
        <v>999</v>
      </c>
      <c r="D442" t="s">
        <v>744</v>
      </c>
      <c r="E442" s="30"/>
      <c r="F442" t="s">
        <v>618</v>
      </c>
      <c r="H442" s="2" t="s">
        <v>860</v>
      </c>
      <c r="I442" s="2"/>
      <c r="J442" s="2" t="s">
        <v>1000</v>
      </c>
      <c r="K442" s="9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3">
      <c r="A443" s="20" t="s">
        <v>914</v>
      </c>
      <c r="B443" s="11"/>
      <c r="C443" s="11"/>
      <c r="D443" s="11"/>
      <c r="E443" s="27"/>
      <c r="F443" s="6"/>
      <c r="G443" s="19">
        <f>SUM(H443:AE443)/24</f>
        <v>12.551783676120003</v>
      </c>
      <c r="H443" s="24">
        <f t="shared" ref="H443:AE443" si="123">$M$9*($F$9+273)^4*$F$11*$H$18</f>
        <v>12.551783676119999</v>
      </c>
      <c r="I443" s="24">
        <f t="shared" si="123"/>
        <v>12.551783676119999</v>
      </c>
      <c r="J443" s="24">
        <f t="shared" si="123"/>
        <v>12.551783676119999</v>
      </c>
      <c r="K443" s="24">
        <f t="shared" si="123"/>
        <v>12.551783676119999</v>
      </c>
      <c r="L443" s="24">
        <f t="shared" si="123"/>
        <v>12.551783676119999</v>
      </c>
      <c r="M443" s="24">
        <f t="shared" si="123"/>
        <v>12.551783676119999</v>
      </c>
      <c r="N443" s="24">
        <f t="shared" si="123"/>
        <v>12.551783676119999</v>
      </c>
      <c r="O443" s="24">
        <f t="shared" si="123"/>
        <v>12.551783676119999</v>
      </c>
      <c r="P443" s="24">
        <f t="shared" si="123"/>
        <v>12.551783676119999</v>
      </c>
      <c r="Q443" s="24">
        <f t="shared" si="123"/>
        <v>12.551783676119999</v>
      </c>
      <c r="R443" s="24">
        <f t="shared" si="123"/>
        <v>12.551783676119999</v>
      </c>
      <c r="S443" s="24">
        <f t="shared" si="123"/>
        <v>12.551783676119999</v>
      </c>
      <c r="T443" s="24">
        <f t="shared" si="123"/>
        <v>12.551783676119999</v>
      </c>
      <c r="U443" s="24">
        <f t="shared" si="123"/>
        <v>12.551783676119999</v>
      </c>
      <c r="V443" s="24">
        <f t="shared" si="123"/>
        <v>12.551783676119999</v>
      </c>
      <c r="W443" s="24">
        <f t="shared" si="123"/>
        <v>12.551783676119999</v>
      </c>
      <c r="X443" s="24">
        <f t="shared" si="123"/>
        <v>12.551783676119999</v>
      </c>
      <c r="Y443" s="24">
        <f t="shared" si="123"/>
        <v>12.551783676119999</v>
      </c>
      <c r="Z443" s="24">
        <f t="shared" si="123"/>
        <v>12.551783676119999</v>
      </c>
      <c r="AA443" s="24">
        <f t="shared" si="123"/>
        <v>12.551783676119999</v>
      </c>
      <c r="AB443" s="24">
        <f t="shared" si="123"/>
        <v>12.551783676119999</v>
      </c>
      <c r="AC443" s="24">
        <f t="shared" si="123"/>
        <v>12.551783676119999</v>
      </c>
      <c r="AD443" s="24">
        <f t="shared" si="123"/>
        <v>12.551783676119999</v>
      </c>
      <c r="AE443" s="24">
        <f t="shared" si="123"/>
        <v>12.551783676119999</v>
      </c>
      <c r="AF443" s="28"/>
      <c r="AG443" s="11"/>
    </row>
    <row r="444" spans="1:33">
      <c r="A444" s="20"/>
      <c r="B444" s="5" t="s">
        <v>272</v>
      </c>
      <c r="C444" s="11"/>
      <c r="D444" t="s">
        <v>743</v>
      </c>
      <c r="E444" s="27"/>
      <c r="F444" s="6"/>
      <c r="G444" s="28"/>
      <c r="H444" t="s">
        <v>717</v>
      </c>
      <c r="I444" s="29"/>
      <c r="J444" s="11"/>
      <c r="K444" s="2" t="s">
        <v>273</v>
      </c>
      <c r="L444" s="11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11"/>
    </row>
    <row r="445" spans="1:33">
      <c r="A445" s="20"/>
      <c r="B445" s="27" t="s">
        <v>925</v>
      </c>
      <c r="C445" s="11" t="s">
        <v>266</v>
      </c>
      <c r="E445" s="27"/>
      <c r="F445" s="6"/>
      <c r="G445" s="28"/>
      <c r="I445" s="29"/>
      <c r="J445" s="11"/>
      <c r="K445" s="2"/>
      <c r="L445" s="11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11"/>
    </row>
    <row r="446" spans="1:33">
      <c r="A446" s="20"/>
      <c r="B446" s="14"/>
      <c r="C446" t="s">
        <v>274</v>
      </c>
      <c r="E446" s="27"/>
      <c r="F446" s="6"/>
      <c r="G446" s="28"/>
      <c r="I446" s="29"/>
      <c r="J446" s="11"/>
      <c r="K446" s="2"/>
      <c r="L446" s="11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11"/>
    </row>
    <row r="447" spans="1:33">
      <c r="A447" s="3"/>
      <c r="B447" s="16" t="s">
        <v>333</v>
      </c>
      <c r="E447" s="12"/>
      <c r="F447" s="6"/>
      <c r="G447" s="32">
        <f>G418+G424+G429+G435+G437+G439+G441+G443</f>
        <v>443.15364756509888</v>
      </c>
      <c r="H447" s="2"/>
      <c r="I447" s="29"/>
      <c r="K447" s="10"/>
      <c r="L447" s="3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3">
      <c r="A448" s="20"/>
      <c r="B448" s="16" t="s">
        <v>725</v>
      </c>
      <c r="E448" s="30"/>
      <c r="F448" s="6"/>
      <c r="G448" s="32">
        <f>G415-G447</f>
        <v>13.188127718151293</v>
      </c>
      <c r="H448" s="33"/>
      <c r="I448" s="8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3">
      <c r="A449" s="39" t="s">
        <v>508</v>
      </c>
      <c r="B449" s="16"/>
      <c r="E449" s="30"/>
      <c r="F449" s="6"/>
      <c r="G449" s="32"/>
      <c r="H449" s="3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3">
      <c r="A450" s="3" t="s">
        <v>977</v>
      </c>
      <c r="E450" s="12"/>
      <c r="F450" s="6"/>
      <c r="G450" s="87" t="s">
        <v>535</v>
      </c>
      <c r="H450" s="21"/>
      <c r="I450" s="2"/>
      <c r="J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3">
      <c r="A451" s="20" t="s">
        <v>935</v>
      </c>
      <c r="B451" s="11"/>
      <c r="C451" s="11"/>
      <c r="E451" s="14" t="s">
        <v>563</v>
      </c>
      <c r="F451" s="31">
        <f>$F$15</f>
        <v>0.7</v>
      </c>
      <c r="G451" s="19">
        <f>SUM(H451:AE451)/48</f>
        <v>175.03045469732069</v>
      </c>
      <c r="H451" s="2">
        <f>H$65*$F$15</f>
        <v>36.065735796860359</v>
      </c>
      <c r="I451" s="2">
        <f>I$65*$F$15</f>
        <v>107.32847411213095</v>
      </c>
      <c r="J451" s="2">
        <f t="shared" ref="J451:AE451" si="124">J$65*$F$15</f>
        <v>176.84378316900228</v>
      </c>
      <c r="K451" s="2">
        <f t="shared" si="124"/>
        <v>243.14405022376206</v>
      </c>
      <c r="L451" s="2">
        <f t="shared" si="124"/>
        <v>305.37044574710427</v>
      </c>
      <c r="M451" s="2">
        <f t="shared" si="124"/>
        <v>362.32886194454306</v>
      </c>
      <c r="N451" s="2">
        <f t="shared" si="124"/>
        <v>413.1615967416069</v>
      </c>
      <c r="O451" s="2">
        <f t="shared" si="124"/>
        <v>456.88673333864148</v>
      </c>
      <c r="P451" s="2">
        <f t="shared" si="124"/>
        <v>492.69677038819515</v>
      </c>
      <c r="Q451" s="2">
        <f t="shared" si="124"/>
        <v>520.18423603202552</v>
      </c>
      <c r="R451" s="2">
        <f t="shared" si="124"/>
        <v>538.68607632184217</v>
      </c>
      <c r="S451" s="2">
        <f t="shared" si="124"/>
        <v>548.03414891998227</v>
      </c>
      <c r="T451" s="2">
        <f t="shared" si="124"/>
        <v>548.03414891998227</v>
      </c>
      <c r="U451" s="2">
        <f t="shared" si="124"/>
        <v>538.68607632184217</v>
      </c>
      <c r="V451" s="2">
        <f t="shared" si="124"/>
        <v>520.18423603202552</v>
      </c>
      <c r="W451" s="2">
        <f t="shared" si="124"/>
        <v>492.69677038819515</v>
      </c>
      <c r="X451" s="2">
        <f t="shared" si="124"/>
        <v>456.88673333864148</v>
      </c>
      <c r="Y451" s="2">
        <f t="shared" si="124"/>
        <v>413.1615967416069</v>
      </c>
      <c r="Z451" s="2">
        <f t="shared" si="124"/>
        <v>362.32886194454306</v>
      </c>
      <c r="AA451" s="2">
        <f t="shared" si="124"/>
        <v>305.37044574710427</v>
      </c>
      <c r="AB451" s="2">
        <f t="shared" si="124"/>
        <v>243.14405022376206</v>
      </c>
      <c r="AC451" s="2">
        <f t="shared" si="124"/>
        <v>176.84378316900228</v>
      </c>
      <c r="AD451" s="2">
        <f t="shared" si="124"/>
        <v>107.32847411213095</v>
      </c>
      <c r="AE451" s="2">
        <f t="shared" si="124"/>
        <v>36.065735796860359</v>
      </c>
      <c r="AF451" s="28"/>
      <c r="AG451" s="11"/>
    </row>
    <row r="452" spans="1:33">
      <c r="A452" s="3"/>
      <c r="B452" s="5" t="s">
        <v>986</v>
      </c>
      <c r="C452" s="11"/>
      <c r="D452" t="s">
        <v>1006</v>
      </c>
      <c r="F452" s="27"/>
      <c r="G452" s="2"/>
      <c r="H452" s="2" t="s">
        <v>1019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8"/>
      <c r="AG452" s="11"/>
    </row>
    <row r="453" spans="1:33">
      <c r="A453" s="20" t="s">
        <v>936</v>
      </c>
      <c r="B453" s="11"/>
      <c r="C453" s="11"/>
      <c r="D453" s="24" t="s">
        <v>1013</v>
      </c>
      <c r="E453" s="27"/>
      <c r="F453" s="6" t="s">
        <v>1049</v>
      </c>
      <c r="G453" s="19">
        <f>SUM(H453:AE453)/24</f>
        <v>294.0451576320001</v>
      </c>
      <c r="H453" s="2">
        <f>$M$9*($F$7+273)^4</f>
        <v>294.04515763199998</v>
      </c>
      <c r="I453" s="2">
        <f t="shared" ref="I453:AE453" si="125">$M$9*($F$7+273)^4</f>
        <v>294.04515763199998</v>
      </c>
      <c r="J453" s="2">
        <f t="shared" si="125"/>
        <v>294.04515763199998</v>
      </c>
      <c r="K453" s="2">
        <f t="shared" si="125"/>
        <v>294.04515763199998</v>
      </c>
      <c r="L453" s="2">
        <f t="shared" si="125"/>
        <v>294.04515763199998</v>
      </c>
      <c r="M453" s="2">
        <f t="shared" si="125"/>
        <v>294.04515763199998</v>
      </c>
      <c r="N453" s="2">
        <f t="shared" si="125"/>
        <v>294.04515763199998</v>
      </c>
      <c r="O453" s="2">
        <f t="shared" si="125"/>
        <v>294.04515763199998</v>
      </c>
      <c r="P453" s="2">
        <f t="shared" si="125"/>
        <v>294.04515763199998</v>
      </c>
      <c r="Q453" s="2">
        <f t="shared" si="125"/>
        <v>294.04515763199998</v>
      </c>
      <c r="R453" s="2">
        <f t="shared" si="125"/>
        <v>294.04515763199998</v>
      </c>
      <c r="S453" s="2">
        <f t="shared" si="125"/>
        <v>294.04515763199998</v>
      </c>
      <c r="T453" s="2">
        <f t="shared" si="125"/>
        <v>294.04515763199998</v>
      </c>
      <c r="U453" s="2">
        <f t="shared" si="125"/>
        <v>294.04515763199998</v>
      </c>
      <c r="V453" s="2">
        <f t="shared" si="125"/>
        <v>294.04515763199998</v>
      </c>
      <c r="W453" s="2">
        <f t="shared" si="125"/>
        <v>294.04515763199998</v>
      </c>
      <c r="X453" s="2">
        <f t="shared" si="125"/>
        <v>294.04515763199998</v>
      </c>
      <c r="Y453" s="2">
        <f t="shared" si="125"/>
        <v>294.04515763199998</v>
      </c>
      <c r="Z453" s="2">
        <f t="shared" si="125"/>
        <v>294.04515763199998</v>
      </c>
      <c r="AA453" s="2">
        <f t="shared" si="125"/>
        <v>294.04515763199998</v>
      </c>
      <c r="AB453" s="2">
        <f t="shared" si="125"/>
        <v>294.04515763199998</v>
      </c>
      <c r="AC453" s="2">
        <f t="shared" si="125"/>
        <v>294.04515763199998</v>
      </c>
      <c r="AD453" s="2">
        <f t="shared" si="125"/>
        <v>294.04515763199998</v>
      </c>
      <c r="AE453" s="2">
        <f t="shared" si="125"/>
        <v>294.04515763199998</v>
      </c>
      <c r="AF453" s="28"/>
      <c r="AG453" s="11"/>
    </row>
    <row r="454" spans="1:33">
      <c r="A454" s="20"/>
      <c r="B454" s="16" t="s">
        <v>729</v>
      </c>
      <c r="C454" s="11"/>
      <c r="D454" s="11"/>
      <c r="E454" s="21"/>
      <c r="F454" s="21"/>
      <c r="G454" s="82">
        <f>G451+G453</f>
        <v>469.07561232932079</v>
      </c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8"/>
      <c r="AG454" s="11"/>
    </row>
    <row r="455" spans="1:33">
      <c r="A455" s="39" t="s">
        <v>508</v>
      </c>
      <c r="B455" s="16"/>
      <c r="C455" s="11"/>
      <c r="D455" s="11"/>
      <c r="E455" s="21"/>
      <c r="F455" s="21"/>
      <c r="G455" s="82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8"/>
      <c r="AG455" s="11"/>
    </row>
    <row r="456" spans="1:33">
      <c r="A456" s="3" t="s">
        <v>325</v>
      </c>
      <c r="B456" s="16"/>
      <c r="C456" s="11"/>
      <c r="D456" s="11"/>
      <c r="E456" s="21"/>
      <c r="F456" s="21"/>
      <c r="G456" s="82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8"/>
      <c r="AG456" s="11"/>
    </row>
    <row r="457" spans="1:33">
      <c r="A457" s="3" t="s">
        <v>877</v>
      </c>
      <c r="G457" s="19">
        <f>SUM(H457:AE457)/48</f>
        <v>15.672149022852549</v>
      </c>
      <c r="H457" s="24">
        <f t="shared" ref="H457:AE457" si="126">H$65*H$376*$F$16</f>
        <v>18.919252636076209</v>
      </c>
      <c r="I457" s="24">
        <f t="shared" si="126"/>
        <v>28.290946545185314</v>
      </c>
      <c r="J457" s="24">
        <f t="shared" si="126"/>
        <v>30.475593148084386</v>
      </c>
      <c r="K457" s="24">
        <f t="shared" si="126"/>
        <v>31.870403554760689</v>
      </c>
      <c r="L457" s="24">
        <f t="shared" si="126"/>
        <v>33.001846930530277</v>
      </c>
      <c r="M457" s="24">
        <f t="shared" si="126"/>
        <v>32.742965614330338</v>
      </c>
      <c r="N457" s="24">
        <f t="shared" si="126"/>
        <v>33.044094125316747</v>
      </c>
      <c r="O457" s="24">
        <f t="shared" si="126"/>
        <v>33.40011097897488</v>
      </c>
      <c r="P457" s="24">
        <f t="shared" si="126"/>
        <v>33.489717407628852</v>
      </c>
      <c r="Q457" s="24">
        <f t="shared" si="126"/>
        <v>33.655187234317623</v>
      </c>
      <c r="R457" s="24">
        <f t="shared" si="126"/>
        <v>33.64324333940521</v>
      </c>
      <c r="S457" s="24">
        <f t="shared" si="126"/>
        <v>33.59821503385065</v>
      </c>
      <c r="T457" s="24">
        <f t="shared" si="126"/>
        <v>33.59821503385065</v>
      </c>
      <c r="U457" s="24">
        <f t="shared" si="126"/>
        <v>33.64324333940521</v>
      </c>
      <c r="V457" s="24">
        <f t="shared" si="126"/>
        <v>33.655187234317623</v>
      </c>
      <c r="W457" s="24">
        <f t="shared" si="126"/>
        <v>33.489717407628852</v>
      </c>
      <c r="X457" s="24">
        <f t="shared" si="126"/>
        <v>33.40011097897488</v>
      </c>
      <c r="Y457" s="24">
        <f t="shared" si="126"/>
        <v>33.044094125316747</v>
      </c>
      <c r="Z457" s="24">
        <f t="shared" si="126"/>
        <v>32.742965614330338</v>
      </c>
      <c r="AA457" s="24">
        <f t="shared" si="126"/>
        <v>33.001846930530277</v>
      </c>
      <c r="AB457" s="24">
        <f t="shared" si="126"/>
        <v>31.870403554760689</v>
      </c>
      <c r="AC457" s="24">
        <f t="shared" si="126"/>
        <v>30.475593148084386</v>
      </c>
      <c r="AD457" s="24">
        <f t="shared" si="126"/>
        <v>28.290946545185314</v>
      </c>
      <c r="AE457" s="24">
        <f t="shared" si="126"/>
        <v>18.919252636076209</v>
      </c>
      <c r="AF457" s="28"/>
      <c r="AG457" s="11"/>
    </row>
    <row r="458" spans="1:33">
      <c r="B458" s="5" t="s">
        <v>987</v>
      </c>
      <c r="D458" t="s">
        <v>772</v>
      </c>
      <c r="G458" t="s">
        <v>894</v>
      </c>
      <c r="J458" s="2"/>
      <c r="K458" s="2" t="s">
        <v>991</v>
      </c>
      <c r="L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3">
      <c r="A459" t="s">
        <v>879</v>
      </c>
      <c r="C459" s="11"/>
      <c r="G459" s="98">
        <f>SUM(H459:AE459)/48</f>
        <v>234.05791470714857</v>
      </c>
      <c r="H459" s="97">
        <f>H$65*(1-($F$16+$F$13)*H$376)</f>
        <v>32.224842021002779</v>
      </c>
      <c r="I459" s="97">
        <f t="shared" ref="I459:AE459" si="127">I$65*(1-($F$16+$F$13)*I$376)</f>
        <v>124.46962611266947</v>
      </c>
      <c r="J459" s="97">
        <f t="shared" si="127"/>
        <v>221.54887094467148</v>
      </c>
      <c r="K459" s="97">
        <f t="shared" si="127"/>
        <v>314.84083155094709</v>
      </c>
      <c r="L459" s="97">
        <f t="shared" si="127"/>
        <v>402.58161005529382</v>
      </c>
      <c r="M459" s="97">
        <f t="shared" si="127"/>
        <v>484.21483499415893</v>
      </c>
      <c r="N459" s="97">
        <f t="shared" si="127"/>
        <v>556.52587648018675</v>
      </c>
      <c r="O459" s="97">
        <f t="shared" si="127"/>
        <v>618.62722014236215</v>
      </c>
      <c r="P459" s="97">
        <f t="shared" si="127"/>
        <v>669.69301737021169</v>
      </c>
      <c r="Q459" s="97">
        <f t="shared" si="127"/>
        <v>708.79204620960411</v>
      </c>
      <c r="R459" s="97">
        <f t="shared" si="127"/>
        <v>735.23542939643835</v>
      </c>
      <c r="S459" s="97">
        <f t="shared" si="127"/>
        <v>748.63574769401851</v>
      </c>
      <c r="T459" s="97">
        <f t="shared" si="127"/>
        <v>748.63574769401851</v>
      </c>
      <c r="U459" s="97">
        <f t="shared" si="127"/>
        <v>735.23542939643835</v>
      </c>
      <c r="V459" s="97">
        <f t="shared" si="127"/>
        <v>708.79204620960411</v>
      </c>
      <c r="W459" s="97">
        <f t="shared" si="127"/>
        <v>669.69301737021169</v>
      </c>
      <c r="X459" s="97">
        <f t="shared" si="127"/>
        <v>618.62722014236215</v>
      </c>
      <c r="Y459" s="97">
        <f t="shared" si="127"/>
        <v>556.52587648018675</v>
      </c>
      <c r="Z459" s="97">
        <f t="shared" si="127"/>
        <v>484.21483499415893</v>
      </c>
      <c r="AA459" s="97">
        <f t="shared" si="127"/>
        <v>402.58161005529382</v>
      </c>
      <c r="AB459" s="97">
        <f t="shared" si="127"/>
        <v>314.84083155094709</v>
      </c>
      <c r="AC459" s="97">
        <f t="shared" si="127"/>
        <v>221.54887094467148</v>
      </c>
      <c r="AD459" s="97">
        <f t="shared" si="127"/>
        <v>124.46962611266947</v>
      </c>
      <c r="AE459" s="97">
        <f t="shared" si="127"/>
        <v>32.224842021002779</v>
      </c>
      <c r="AF459" s="28"/>
      <c r="AG459" s="11"/>
    </row>
    <row r="460" spans="1:33">
      <c r="B460" s="24" t="s">
        <v>989</v>
      </c>
      <c r="D460" s="2" t="s">
        <v>992</v>
      </c>
      <c r="E460" s="106" t="s">
        <v>970</v>
      </c>
      <c r="G460" t="s">
        <v>853</v>
      </c>
      <c r="I460" t="s">
        <v>990</v>
      </c>
      <c r="AF460" s="28"/>
      <c r="AG460" s="11"/>
    </row>
    <row r="461" spans="1:33">
      <c r="A461" t="s">
        <v>895</v>
      </c>
      <c r="C461" s="11"/>
      <c r="D461" s="24"/>
      <c r="G461" s="97">
        <f>SUM(H461:AE461)/48</f>
        <v>163.84054029500396</v>
      </c>
      <c r="H461" s="97">
        <f>H459*$F$15</f>
        <v>22.557389414701944</v>
      </c>
      <c r="I461" s="97">
        <f t="shared" ref="I461:AE461" si="128">I459*$F$15</f>
        <v>87.128738278868624</v>
      </c>
      <c r="J461" s="97">
        <f t="shared" si="128"/>
        <v>155.08420966127002</v>
      </c>
      <c r="K461" s="97">
        <f t="shared" si="128"/>
        <v>220.38858208566296</v>
      </c>
      <c r="L461" s="97">
        <f t="shared" si="128"/>
        <v>281.80712703870563</v>
      </c>
      <c r="M461" s="97">
        <f t="shared" si="128"/>
        <v>338.95038449591124</v>
      </c>
      <c r="N461" s="97">
        <f t="shared" si="128"/>
        <v>389.56811353613068</v>
      </c>
      <c r="O461" s="97">
        <f t="shared" si="128"/>
        <v>433.03905409965347</v>
      </c>
      <c r="P461" s="97">
        <f t="shared" si="128"/>
        <v>468.78511215914813</v>
      </c>
      <c r="Q461" s="97">
        <f t="shared" si="128"/>
        <v>496.15443234672284</v>
      </c>
      <c r="R461" s="97">
        <f t="shared" si="128"/>
        <v>514.66480057750687</v>
      </c>
      <c r="S461" s="97">
        <f t="shared" si="128"/>
        <v>524.0450233858129</v>
      </c>
      <c r="T461" s="97">
        <f t="shared" si="128"/>
        <v>524.0450233858129</v>
      </c>
      <c r="U461" s="97">
        <f t="shared" si="128"/>
        <v>514.66480057750687</v>
      </c>
      <c r="V461" s="97">
        <f t="shared" si="128"/>
        <v>496.15443234672284</v>
      </c>
      <c r="W461" s="97">
        <f t="shared" si="128"/>
        <v>468.78511215914813</v>
      </c>
      <c r="X461" s="97">
        <f t="shared" si="128"/>
        <v>433.03905409965347</v>
      </c>
      <c r="Y461" s="97">
        <f t="shared" si="128"/>
        <v>389.56811353613068</v>
      </c>
      <c r="Z461" s="97">
        <f t="shared" si="128"/>
        <v>338.95038449591124</v>
      </c>
      <c r="AA461" s="97">
        <f t="shared" si="128"/>
        <v>281.80712703870563</v>
      </c>
      <c r="AB461" s="97">
        <f t="shared" si="128"/>
        <v>220.38858208566296</v>
      </c>
      <c r="AC461" s="97">
        <f t="shared" si="128"/>
        <v>155.08420966127002</v>
      </c>
      <c r="AD461" s="97">
        <f t="shared" si="128"/>
        <v>87.128738278868624</v>
      </c>
      <c r="AE461" s="97">
        <f t="shared" si="128"/>
        <v>22.557389414701944</v>
      </c>
      <c r="AF461" s="28"/>
      <c r="AG461" s="11"/>
    </row>
    <row r="462" spans="1:33">
      <c r="B462" s="24" t="s">
        <v>938</v>
      </c>
      <c r="C462" s="14" t="s">
        <v>897</v>
      </c>
      <c r="D462" s="24" t="s">
        <v>1050</v>
      </c>
      <c r="I462" s="24"/>
      <c r="AF462" s="28"/>
      <c r="AG462" s="11"/>
    </row>
    <row r="463" spans="1:33">
      <c r="A463" s="20" t="s">
        <v>896</v>
      </c>
      <c r="B463" s="11"/>
      <c r="C463" s="11"/>
      <c r="E463" s="14" t="s">
        <v>563</v>
      </c>
      <c r="F463" s="31">
        <f>$F$15</f>
        <v>0.7</v>
      </c>
      <c r="G463" s="19">
        <f>SUM(H463:AE463)/48</f>
        <v>155.52328215472534</v>
      </c>
      <c r="H463" s="2">
        <f t="shared" ref="H463:AE463" si="129">H461*(1-($F$16+$F$13)*$H$377)</f>
        <v>21.412278257261594</v>
      </c>
      <c r="I463" s="2">
        <f t="shared" si="129"/>
        <v>82.705704721988795</v>
      </c>
      <c r="J463" s="2">
        <f t="shared" si="129"/>
        <v>147.21146093307749</v>
      </c>
      <c r="K463" s="2">
        <f t="shared" si="129"/>
        <v>209.20069949521269</v>
      </c>
      <c r="L463" s="2">
        <f t="shared" si="129"/>
        <v>267.50137208250891</v>
      </c>
      <c r="M463" s="2">
        <f t="shared" si="129"/>
        <v>321.74378935454291</v>
      </c>
      <c r="N463" s="2">
        <f t="shared" si="129"/>
        <v>369.79194240249478</v>
      </c>
      <c r="O463" s="2">
        <f t="shared" si="129"/>
        <v>411.05610902828204</v>
      </c>
      <c r="P463" s="2">
        <f t="shared" si="129"/>
        <v>444.98754177072828</v>
      </c>
      <c r="Q463" s="2">
        <f t="shared" si="129"/>
        <v>470.96747627442937</v>
      </c>
      <c r="R463" s="2">
        <f t="shared" si="129"/>
        <v>488.53817773794179</v>
      </c>
      <c r="S463" s="2">
        <f t="shared" si="129"/>
        <v>497.44221965494012</v>
      </c>
      <c r="T463" s="2">
        <f t="shared" si="129"/>
        <v>497.44221965494012</v>
      </c>
      <c r="U463" s="2">
        <f t="shared" si="129"/>
        <v>488.53817773794179</v>
      </c>
      <c r="V463" s="2">
        <f t="shared" si="129"/>
        <v>470.96747627442937</v>
      </c>
      <c r="W463" s="2">
        <f t="shared" si="129"/>
        <v>444.98754177072828</v>
      </c>
      <c r="X463" s="2">
        <f t="shared" si="129"/>
        <v>411.05610902828204</v>
      </c>
      <c r="Y463" s="2">
        <f t="shared" si="129"/>
        <v>369.79194240249478</v>
      </c>
      <c r="Z463" s="2">
        <f t="shared" si="129"/>
        <v>321.74378935454291</v>
      </c>
      <c r="AA463" s="2">
        <f t="shared" si="129"/>
        <v>267.50137208250891</v>
      </c>
      <c r="AB463" s="2">
        <f t="shared" si="129"/>
        <v>209.20069949521269</v>
      </c>
      <c r="AC463" s="2">
        <f t="shared" si="129"/>
        <v>147.21146093307749</v>
      </c>
      <c r="AD463" s="2">
        <f t="shared" si="129"/>
        <v>82.705704721988795</v>
      </c>
      <c r="AE463" s="2">
        <f t="shared" si="129"/>
        <v>21.412278257261594</v>
      </c>
      <c r="AF463" s="28"/>
      <c r="AG463" s="11"/>
    </row>
    <row r="464" spans="1:33">
      <c r="A464" s="3"/>
      <c r="B464" s="5" t="s">
        <v>1051</v>
      </c>
      <c r="C464" s="11"/>
      <c r="D464" t="s">
        <v>993</v>
      </c>
      <c r="F464" s="27"/>
      <c r="G464" s="2"/>
      <c r="H464" s="2" t="s">
        <v>898</v>
      </c>
      <c r="I464" s="2"/>
      <c r="J464" s="2" t="s">
        <v>899</v>
      </c>
      <c r="K464" s="2"/>
      <c r="L464" t="s">
        <v>251</v>
      </c>
      <c r="M464" s="2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11"/>
    </row>
    <row r="465" spans="1:33">
      <c r="A465" t="s">
        <v>834</v>
      </c>
      <c r="B465" s="5"/>
      <c r="C465" s="11"/>
      <c r="D465" s="5" t="s">
        <v>1003</v>
      </c>
      <c r="F465" t="s">
        <v>1052</v>
      </c>
      <c r="G465" s="97">
        <f>SUM(H465:AE465)/48</f>
        <v>8.1541746473319545</v>
      </c>
      <c r="H465" s="97">
        <f t="shared" ref="H465:AE465" si="130">H461*$H$377*$F$16</f>
        <v>1.1226579974905371</v>
      </c>
      <c r="I465" s="97">
        <f t="shared" si="130"/>
        <v>4.3363074087057081</v>
      </c>
      <c r="J465" s="97">
        <f t="shared" si="130"/>
        <v>7.7183811060711136</v>
      </c>
      <c r="K465" s="97">
        <f t="shared" si="130"/>
        <v>10.968512343578677</v>
      </c>
      <c r="L465" s="97">
        <f t="shared" si="130"/>
        <v>14.025249957055591</v>
      </c>
      <c r="M465" s="97">
        <f t="shared" si="130"/>
        <v>16.869210922910128</v>
      </c>
      <c r="N465" s="97">
        <f t="shared" si="130"/>
        <v>19.388403072192009</v>
      </c>
      <c r="O465" s="97">
        <f t="shared" si="130"/>
        <v>21.551906932717063</v>
      </c>
      <c r="P465" s="97">
        <f t="shared" si="130"/>
        <v>23.33095136119589</v>
      </c>
      <c r="Q465" s="97">
        <f t="shared" si="130"/>
        <v>24.693094188522966</v>
      </c>
      <c r="R465" s="97">
        <f t="shared" si="130"/>
        <v>25.614336117220638</v>
      </c>
      <c r="S465" s="97">
        <f t="shared" si="130"/>
        <v>26.08118012830662</v>
      </c>
      <c r="T465" s="97">
        <f t="shared" si="130"/>
        <v>26.08118012830662</v>
      </c>
      <c r="U465" s="97">
        <f t="shared" si="130"/>
        <v>25.614336117220638</v>
      </c>
      <c r="V465" s="97">
        <f t="shared" si="130"/>
        <v>24.693094188522966</v>
      </c>
      <c r="W465" s="97">
        <f t="shared" si="130"/>
        <v>23.33095136119589</v>
      </c>
      <c r="X465" s="97">
        <f t="shared" si="130"/>
        <v>21.551906932717063</v>
      </c>
      <c r="Y465" s="97">
        <f t="shared" si="130"/>
        <v>19.388403072192009</v>
      </c>
      <c r="Z465" s="97">
        <f t="shared" si="130"/>
        <v>16.869210922910128</v>
      </c>
      <c r="AA465" s="97">
        <f t="shared" si="130"/>
        <v>14.025249957055591</v>
      </c>
      <c r="AB465" s="97">
        <f t="shared" si="130"/>
        <v>10.968512343578677</v>
      </c>
      <c r="AC465" s="97">
        <f t="shared" si="130"/>
        <v>7.7183811060711136</v>
      </c>
      <c r="AD465" s="97">
        <f t="shared" si="130"/>
        <v>4.3363074087057081</v>
      </c>
      <c r="AE465" s="97">
        <f t="shared" si="130"/>
        <v>1.1226579974905371</v>
      </c>
      <c r="AF465" s="28"/>
      <c r="AG465" s="11"/>
    </row>
    <row r="466" spans="1:33">
      <c r="A466" t="s">
        <v>930</v>
      </c>
      <c r="B466" s="5"/>
      <c r="C466" s="11"/>
      <c r="D466" s="5" t="s">
        <v>1053</v>
      </c>
      <c r="G466" s="97">
        <f>SUM(H466:AE466)/48</f>
        <v>5.7079222531323701</v>
      </c>
      <c r="H466" s="97">
        <f>H465*$F$15</f>
        <v>0.78586059824337595</v>
      </c>
      <c r="I466" s="97">
        <f t="shared" ref="I466:AE466" si="131">I465*$F$15</f>
        <v>3.0354151860939953</v>
      </c>
      <c r="J466" s="97">
        <f t="shared" si="131"/>
        <v>5.4028667742497793</v>
      </c>
      <c r="K466" s="97">
        <f t="shared" si="131"/>
        <v>7.6779586405050733</v>
      </c>
      <c r="L466" s="97">
        <f t="shared" si="131"/>
        <v>9.8176749699389134</v>
      </c>
      <c r="M466" s="97">
        <f t="shared" si="131"/>
        <v>11.808447646037088</v>
      </c>
      <c r="N466" s="97">
        <f t="shared" si="131"/>
        <v>13.571882150534405</v>
      </c>
      <c r="O466" s="97">
        <f t="shared" si="131"/>
        <v>15.086334852901944</v>
      </c>
      <c r="P466" s="97">
        <f t="shared" si="131"/>
        <v>16.33166595283712</v>
      </c>
      <c r="Q466" s="97">
        <f t="shared" si="131"/>
        <v>17.285165931966077</v>
      </c>
      <c r="R466" s="97">
        <f t="shared" si="131"/>
        <v>17.930035282054444</v>
      </c>
      <c r="S466" s="97">
        <f t="shared" si="131"/>
        <v>18.256826089814634</v>
      </c>
      <c r="T466" s="97">
        <f t="shared" si="131"/>
        <v>18.256826089814634</v>
      </c>
      <c r="U466" s="97">
        <f t="shared" si="131"/>
        <v>17.930035282054444</v>
      </c>
      <c r="V466" s="97">
        <f t="shared" si="131"/>
        <v>17.285165931966077</v>
      </c>
      <c r="W466" s="97">
        <f t="shared" si="131"/>
        <v>16.33166595283712</v>
      </c>
      <c r="X466" s="97">
        <f t="shared" si="131"/>
        <v>15.086334852901944</v>
      </c>
      <c r="Y466" s="97">
        <f t="shared" si="131"/>
        <v>13.571882150534405</v>
      </c>
      <c r="Z466" s="97">
        <f t="shared" si="131"/>
        <v>11.808447646037088</v>
      </c>
      <c r="AA466" s="97">
        <f t="shared" si="131"/>
        <v>9.8176749699389134</v>
      </c>
      <c r="AB466" s="97">
        <f t="shared" si="131"/>
        <v>7.6779586405050733</v>
      </c>
      <c r="AC466" s="97">
        <f t="shared" si="131"/>
        <v>5.4028667742497793</v>
      </c>
      <c r="AD466" s="97">
        <f t="shared" si="131"/>
        <v>3.0354151860939953</v>
      </c>
      <c r="AE466" s="97">
        <f t="shared" si="131"/>
        <v>0.78586059824337595</v>
      </c>
      <c r="AF466" s="28"/>
      <c r="AG466" s="11"/>
    </row>
    <row r="467" spans="1:33">
      <c r="A467" s="20" t="s">
        <v>835</v>
      </c>
      <c r="B467" s="5"/>
      <c r="C467" s="11"/>
      <c r="G467" s="19">
        <f>SUM(H467:AE467)/48</f>
        <v>5.4181633037388766</v>
      </c>
      <c r="H467" s="24">
        <f t="shared" ref="H467:AE467" si="132">H466*(1-($F$16+$F$13)*$H$377)</f>
        <v>0.74596689766050961</v>
      </c>
      <c r="I467" s="24">
        <f t="shared" si="132"/>
        <v>2.8813243144439862</v>
      </c>
      <c r="J467" s="24">
        <f t="shared" si="132"/>
        <v>5.1285937672268647</v>
      </c>
      <c r="K467" s="24">
        <f t="shared" si="132"/>
        <v>7.2881920791370467</v>
      </c>
      <c r="L467" s="24">
        <f t="shared" si="132"/>
        <v>9.319287105034979</v>
      </c>
      <c r="M467" s="24">
        <f t="shared" si="132"/>
        <v>11.208999504989603</v>
      </c>
      <c r="N467" s="24">
        <f t="shared" si="132"/>
        <v>12.88291440731172</v>
      </c>
      <c r="O467" s="24">
        <f t="shared" si="132"/>
        <v>14.320486906256143</v>
      </c>
      <c r="P467" s="24">
        <f t="shared" si="132"/>
        <v>15.502599585343656</v>
      </c>
      <c r="Q467" s="24">
        <f t="shared" si="132"/>
        <v>16.407695760085211</v>
      </c>
      <c r="R467" s="24">
        <f t="shared" si="132"/>
        <v>17.019828738322133</v>
      </c>
      <c r="S467" s="24">
        <f t="shared" si="132"/>
        <v>17.330030223921167</v>
      </c>
      <c r="T467" s="24">
        <f t="shared" si="132"/>
        <v>17.330030223921167</v>
      </c>
      <c r="U467" s="24">
        <f t="shared" si="132"/>
        <v>17.019828738322133</v>
      </c>
      <c r="V467" s="24">
        <f t="shared" si="132"/>
        <v>16.407695760085211</v>
      </c>
      <c r="W467" s="24">
        <f t="shared" si="132"/>
        <v>15.502599585343656</v>
      </c>
      <c r="X467" s="24">
        <f t="shared" si="132"/>
        <v>14.320486906256143</v>
      </c>
      <c r="Y467" s="24">
        <f t="shared" si="132"/>
        <v>12.88291440731172</v>
      </c>
      <c r="Z467" s="24">
        <f t="shared" si="132"/>
        <v>11.208999504989603</v>
      </c>
      <c r="AA467" s="24">
        <f t="shared" si="132"/>
        <v>9.319287105034979</v>
      </c>
      <c r="AB467" s="24">
        <f t="shared" si="132"/>
        <v>7.2881920791370467</v>
      </c>
      <c r="AC467" s="24">
        <f t="shared" si="132"/>
        <v>5.1285937672268647</v>
      </c>
      <c r="AD467" s="24">
        <f t="shared" si="132"/>
        <v>2.8813243144439862</v>
      </c>
      <c r="AE467" s="24">
        <f t="shared" si="132"/>
        <v>0.74596689766050961</v>
      </c>
      <c r="AF467" s="28"/>
      <c r="AG467" s="11"/>
    </row>
    <row r="468" spans="1:33">
      <c r="A468" s="20"/>
      <c r="B468" s="24" t="s">
        <v>1054</v>
      </c>
      <c r="C468" s="11"/>
      <c r="D468" t="s">
        <v>993</v>
      </c>
      <c r="G468" s="27"/>
      <c r="H468" s="24" t="s">
        <v>900</v>
      </c>
      <c r="K468" t="s">
        <v>853</v>
      </c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8"/>
      <c r="AG468" s="11"/>
    </row>
    <row r="469" spans="1:33">
      <c r="A469" s="100" t="s">
        <v>836</v>
      </c>
      <c r="B469" s="5"/>
      <c r="C469" s="11"/>
      <c r="G469" s="19">
        <f>SUM(H469:AE469)/48</f>
        <v>0.18875947819038885</v>
      </c>
      <c r="H469" s="2">
        <f>H467^2/H463</f>
        <v>2.5988201989507093E-2</v>
      </c>
      <c r="I469" s="2">
        <f t="shared" ref="I469:AE469" si="133">I467^2/I463</f>
        <v>0.10038037681817689</v>
      </c>
      <c r="J469" s="2">
        <f t="shared" si="133"/>
        <v>0.17867137424303792</v>
      </c>
      <c r="K469" s="2">
        <f t="shared" si="133"/>
        <v>0.25390806010957689</v>
      </c>
      <c r="L469" s="2">
        <f t="shared" si="133"/>
        <v>0.32466791280339019</v>
      </c>
      <c r="M469" s="2">
        <f t="shared" si="133"/>
        <v>0.39050223830243808</v>
      </c>
      <c r="N469" s="2">
        <f t="shared" si="133"/>
        <v>0.44881855063643533</v>
      </c>
      <c r="O469" s="2">
        <f t="shared" si="133"/>
        <v>0.49890110067222887</v>
      </c>
      <c r="P469" s="2">
        <f t="shared" si="133"/>
        <v>0.54008387054423035</v>
      </c>
      <c r="Q469" s="2">
        <f t="shared" si="133"/>
        <v>0.57161586249036445</v>
      </c>
      <c r="R469" s="2">
        <f t="shared" si="133"/>
        <v>0.59294152121966026</v>
      </c>
      <c r="S469" s="2">
        <f t="shared" si="133"/>
        <v>0.60374840674028529</v>
      </c>
      <c r="T469" s="2">
        <f t="shared" si="133"/>
        <v>0.60374840674028529</v>
      </c>
      <c r="U469" s="2">
        <f t="shared" si="133"/>
        <v>0.59294152121966026</v>
      </c>
      <c r="V469" s="2">
        <f t="shared" si="133"/>
        <v>0.57161586249036445</v>
      </c>
      <c r="W469" s="2">
        <f t="shared" si="133"/>
        <v>0.54008387054423035</v>
      </c>
      <c r="X469" s="2">
        <f t="shared" si="133"/>
        <v>0.49890110067222887</v>
      </c>
      <c r="Y469" s="2">
        <f t="shared" si="133"/>
        <v>0.44881855063643533</v>
      </c>
      <c r="Z469" s="2">
        <f t="shared" si="133"/>
        <v>0.39050223830243808</v>
      </c>
      <c r="AA469" s="2">
        <f t="shared" si="133"/>
        <v>0.32466791280339019</v>
      </c>
      <c r="AB469" s="2">
        <f t="shared" si="133"/>
        <v>0.25390806010957689</v>
      </c>
      <c r="AC469" s="2">
        <f t="shared" si="133"/>
        <v>0.17867137424303792</v>
      </c>
      <c r="AD469" s="2">
        <f t="shared" si="133"/>
        <v>0.10038037681817689</v>
      </c>
      <c r="AE469" s="2">
        <f t="shared" si="133"/>
        <v>2.5988201989507093E-2</v>
      </c>
      <c r="AF469" s="28"/>
      <c r="AG469" s="11"/>
    </row>
    <row r="470" spans="1:33">
      <c r="A470" s="100"/>
      <c r="B470" s="24" t="s">
        <v>1055</v>
      </c>
      <c r="C470" s="11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8"/>
      <c r="AG470" s="11"/>
    </row>
    <row r="471" spans="1:33">
      <c r="A471" s="20" t="s">
        <v>901</v>
      </c>
      <c r="B471" s="11"/>
      <c r="C471" s="11"/>
      <c r="D471" s="24"/>
      <c r="E471" s="27"/>
      <c r="F471" s="6"/>
      <c r="G471" s="19">
        <f>SUM(H471:AE471)/24</f>
        <v>264.77650940590888</v>
      </c>
      <c r="H471" s="2">
        <f t="shared" ref="H471:AE471" si="134">$M$9*($F$7+273)^4*(1-$H$377)</f>
        <v>264.77650940590894</v>
      </c>
      <c r="I471" s="2">
        <f t="shared" si="134"/>
        <v>264.77650940590894</v>
      </c>
      <c r="J471" s="2">
        <f t="shared" si="134"/>
        <v>264.77650940590894</v>
      </c>
      <c r="K471" s="2">
        <f t="shared" si="134"/>
        <v>264.77650940590894</v>
      </c>
      <c r="L471" s="2">
        <f t="shared" si="134"/>
        <v>264.77650940590894</v>
      </c>
      <c r="M471" s="2">
        <f t="shared" si="134"/>
        <v>264.77650940590894</v>
      </c>
      <c r="N471" s="2">
        <f t="shared" si="134"/>
        <v>264.77650940590894</v>
      </c>
      <c r="O471" s="2">
        <f t="shared" si="134"/>
        <v>264.77650940590894</v>
      </c>
      <c r="P471" s="2">
        <f t="shared" si="134"/>
        <v>264.77650940590894</v>
      </c>
      <c r="Q471" s="2">
        <f t="shared" si="134"/>
        <v>264.77650940590894</v>
      </c>
      <c r="R471" s="2">
        <f t="shared" si="134"/>
        <v>264.77650940590894</v>
      </c>
      <c r="S471" s="2">
        <f t="shared" si="134"/>
        <v>264.77650940590894</v>
      </c>
      <c r="T471" s="2">
        <f t="shared" si="134"/>
        <v>264.77650940590894</v>
      </c>
      <c r="U471" s="2">
        <f t="shared" si="134"/>
        <v>264.77650940590894</v>
      </c>
      <c r="V471" s="2">
        <f t="shared" si="134"/>
        <v>264.77650940590894</v>
      </c>
      <c r="W471" s="2">
        <f t="shared" si="134"/>
        <v>264.77650940590894</v>
      </c>
      <c r="X471" s="2">
        <f t="shared" si="134"/>
        <v>264.77650940590894</v>
      </c>
      <c r="Y471" s="2">
        <f t="shared" si="134"/>
        <v>264.77650940590894</v>
      </c>
      <c r="Z471" s="2">
        <f t="shared" si="134"/>
        <v>264.77650940590894</v>
      </c>
      <c r="AA471" s="2">
        <f t="shared" si="134"/>
        <v>264.77650940590894</v>
      </c>
      <c r="AB471" s="2">
        <f t="shared" si="134"/>
        <v>264.77650940590894</v>
      </c>
      <c r="AC471" s="2">
        <f t="shared" si="134"/>
        <v>264.77650940590894</v>
      </c>
      <c r="AD471" s="2">
        <f t="shared" si="134"/>
        <v>264.77650940590894</v>
      </c>
      <c r="AE471" s="2">
        <f t="shared" si="134"/>
        <v>264.77650940590894</v>
      </c>
      <c r="AF471" s="28"/>
      <c r="AG471" s="11"/>
    </row>
    <row r="472" spans="1:33">
      <c r="A472" s="14"/>
      <c r="B472" s="5" t="s">
        <v>1014</v>
      </c>
      <c r="D472" t="s">
        <v>1056</v>
      </c>
      <c r="E472" s="12"/>
      <c r="F472" s="6"/>
      <c r="G472" s="2"/>
      <c r="H472" s="2" t="s">
        <v>1001</v>
      </c>
      <c r="J472" s="10"/>
      <c r="K472" s="9"/>
      <c r="AF472" s="2"/>
    </row>
    <row r="473" spans="1:33">
      <c r="A473" s="20" t="s">
        <v>914</v>
      </c>
      <c r="B473" s="11"/>
      <c r="C473" s="11"/>
      <c r="D473" s="11"/>
      <c r="E473" s="27"/>
      <c r="F473" s="6"/>
      <c r="G473" s="19">
        <f>SUM(H473:AE473)/24</f>
        <v>12.551783676120003</v>
      </c>
      <c r="H473" s="24">
        <f t="shared" ref="H473:AE473" si="135">$M$9*($F$9+273)^4*$F$11*$H$18</f>
        <v>12.551783676119999</v>
      </c>
      <c r="I473" s="24">
        <f t="shared" si="135"/>
        <v>12.551783676119999</v>
      </c>
      <c r="J473" s="24">
        <f t="shared" si="135"/>
        <v>12.551783676119999</v>
      </c>
      <c r="K473" s="24">
        <f t="shared" si="135"/>
        <v>12.551783676119999</v>
      </c>
      <c r="L473" s="24">
        <f t="shared" si="135"/>
        <v>12.551783676119999</v>
      </c>
      <c r="M473" s="24">
        <f t="shared" si="135"/>
        <v>12.551783676119999</v>
      </c>
      <c r="N473" s="24">
        <f t="shared" si="135"/>
        <v>12.551783676119999</v>
      </c>
      <c r="O473" s="24">
        <f t="shared" si="135"/>
        <v>12.551783676119999</v>
      </c>
      <c r="P473" s="24">
        <f t="shared" si="135"/>
        <v>12.551783676119999</v>
      </c>
      <c r="Q473" s="24">
        <f t="shared" si="135"/>
        <v>12.551783676119999</v>
      </c>
      <c r="R473" s="24">
        <f t="shared" si="135"/>
        <v>12.551783676119999</v>
      </c>
      <c r="S473" s="24">
        <f t="shared" si="135"/>
        <v>12.551783676119999</v>
      </c>
      <c r="T473" s="24">
        <f t="shared" si="135"/>
        <v>12.551783676119999</v>
      </c>
      <c r="U473" s="24">
        <f t="shared" si="135"/>
        <v>12.551783676119999</v>
      </c>
      <c r="V473" s="24">
        <f t="shared" si="135"/>
        <v>12.551783676119999</v>
      </c>
      <c r="W473" s="24">
        <f t="shared" si="135"/>
        <v>12.551783676119999</v>
      </c>
      <c r="X473" s="24">
        <f t="shared" si="135"/>
        <v>12.551783676119999</v>
      </c>
      <c r="Y473" s="24">
        <f t="shared" si="135"/>
        <v>12.551783676119999</v>
      </c>
      <c r="Z473" s="24">
        <f t="shared" si="135"/>
        <v>12.551783676119999</v>
      </c>
      <c r="AA473" s="24">
        <f t="shared" si="135"/>
        <v>12.551783676119999</v>
      </c>
      <c r="AB473" s="24">
        <f t="shared" si="135"/>
        <v>12.551783676119999</v>
      </c>
      <c r="AC473" s="24">
        <f t="shared" si="135"/>
        <v>12.551783676119999</v>
      </c>
      <c r="AD473" s="24">
        <f t="shared" si="135"/>
        <v>12.551783676119999</v>
      </c>
      <c r="AE473" s="24">
        <f t="shared" si="135"/>
        <v>12.551783676119999</v>
      </c>
      <c r="AF473" s="28"/>
      <c r="AG473" s="11"/>
    </row>
    <row r="474" spans="1:33">
      <c r="A474" s="20"/>
      <c r="B474" s="5" t="s">
        <v>272</v>
      </c>
      <c r="C474" s="11"/>
      <c r="D474" t="s">
        <v>743</v>
      </c>
      <c r="E474" s="27"/>
      <c r="F474" s="6"/>
      <c r="G474" s="28"/>
      <c r="H474" t="s">
        <v>717</v>
      </c>
      <c r="I474" s="29"/>
      <c r="J474" s="11"/>
      <c r="K474" s="2" t="s">
        <v>273</v>
      </c>
      <c r="L474" s="11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11"/>
    </row>
    <row r="475" spans="1:33">
      <c r="A475" s="20"/>
      <c r="B475" s="27" t="s">
        <v>925</v>
      </c>
      <c r="C475" s="11" t="s">
        <v>266</v>
      </c>
      <c r="E475" s="27"/>
      <c r="F475" s="6"/>
      <c r="G475" s="28"/>
      <c r="I475" s="29"/>
      <c r="J475" s="11"/>
      <c r="K475" s="2"/>
      <c r="L475" s="11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11"/>
    </row>
    <row r="476" spans="1:33">
      <c r="A476" s="20"/>
      <c r="B476" s="14"/>
      <c r="C476" t="s">
        <v>274</v>
      </c>
      <c r="E476" s="27"/>
      <c r="F476" s="6"/>
      <c r="G476" s="28"/>
      <c r="I476" s="29"/>
      <c r="J476" s="11"/>
      <c r="K476" s="2"/>
      <c r="L476" s="11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11"/>
    </row>
    <row r="477" spans="1:33">
      <c r="A477" s="20"/>
      <c r="B477" s="16" t="s">
        <v>334</v>
      </c>
      <c r="C477" s="11"/>
      <c r="D477" s="11"/>
      <c r="E477" s="21"/>
      <c r="F477" s="21"/>
      <c r="G477" s="82">
        <f>G457+G463+G467+G469+G471+G473</f>
        <v>454.13064704153606</v>
      </c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8"/>
      <c r="AG477" s="11"/>
    </row>
    <row r="478" spans="1:33">
      <c r="A478" s="20"/>
      <c r="B478" s="16" t="s">
        <v>730</v>
      </c>
      <c r="C478" s="11"/>
      <c r="D478" s="11"/>
      <c r="E478" s="21"/>
      <c r="F478" s="21"/>
      <c r="G478" s="82">
        <f>G454-G477</f>
        <v>14.944965287784726</v>
      </c>
      <c r="H478" s="24"/>
      <c r="I478" s="32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8"/>
      <c r="AG478" s="11"/>
    </row>
    <row r="479" spans="1:33">
      <c r="G479" s="9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2"/>
    </row>
    <row r="481" spans="1:33" ht="18.75">
      <c r="A481" s="85" t="s">
        <v>509</v>
      </c>
      <c r="B481" s="30" t="s">
        <v>609</v>
      </c>
      <c r="H481" s="4" t="s">
        <v>484</v>
      </c>
      <c r="I481" s="4" t="s">
        <v>486</v>
      </c>
      <c r="J481" s="4" t="s">
        <v>485</v>
      </c>
      <c r="K481" s="4" t="s">
        <v>487</v>
      </c>
      <c r="L481" s="4" t="s">
        <v>488</v>
      </c>
      <c r="M481" s="4" t="s">
        <v>489</v>
      </c>
      <c r="N481" s="4" t="s">
        <v>490</v>
      </c>
      <c r="O481" s="4" t="s">
        <v>491</v>
      </c>
      <c r="P481" s="4" t="s">
        <v>494</v>
      </c>
      <c r="Q481" s="4" t="s">
        <v>492</v>
      </c>
      <c r="R481" s="4" t="s">
        <v>495</v>
      </c>
      <c r="S481" s="4" t="s">
        <v>493</v>
      </c>
      <c r="T481" s="4" t="s">
        <v>515</v>
      </c>
      <c r="U481" s="4" t="s">
        <v>517</v>
      </c>
      <c r="V481" s="4" t="s">
        <v>518</v>
      </c>
      <c r="W481" s="4" t="s">
        <v>516</v>
      </c>
      <c r="X481" s="4" t="s">
        <v>519</v>
      </c>
      <c r="Y481" s="4" t="s">
        <v>520</v>
      </c>
      <c r="Z481" s="4" t="s">
        <v>521</v>
      </c>
      <c r="AA481" s="4" t="s">
        <v>522</v>
      </c>
      <c r="AB481" s="4" t="s">
        <v>523</v>
      </c>
      <c r="AC481" s="4" t="s">
        <v>524</v>
      </c>
      <c r="AD481" s="4" t="s">
        <v>525</v>
      </c>
      <c r="AE481" s="4" t="s">
        <v>526</v>
      </c>
      <c r="AF481" s="2"/>
    </row>
    <row r="482" spans="1:33">
      <c r="A482" s="3" t="s">
        <v>722</v>
      </c>
      <c r="G482" t="s">
        <v>535</v>
      </c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2"/>
    </row>
    <row r="483" spans="1:33">
      <c r="A483" t="s">
        <v>561</v>
      </c>
      <c r="B483" s="11"/>
      <c r="C483" s="11"/>
      <c r="D483" s="5" t="s">
        <v>1059</v>
      </c>
      <c r="E483" s="12"/>
      <c r="F483" s="6"/>
      <c r="G483" s="2">
        <f>SUM(H483:AE483)/48</f>
        <v>217.92951953255195</v>
      </c>
      <c r="H483" s="2">
        <f>H$66</f>
        <v>44.607756663940144</v>
      </c>
      <c r="I483" s="2">
        <f t="shared" ref="I483:AE483" si="136">I$66</f>
        <v>133.39582397075733</v>
      </c>
      <c r="J483" s="2">
        <f t="shared" si="136"/>
        <v>219.97056784972216</v>
      </c>
      <c r="K483" s="2">
        <f t="shared" si="136"/>
        <v>302.62413415426892</v>
      </c>
      <c r="L483" s="2">
        <f t="shared" si="136"/>
        <v>380.2351312927849</v>
      </c>
      <c r="M483" s="2">
        <f t="shared" si="136"/>
        <v>451.13757841429788</v>
      </c>
      <c r="N483" s="2">
        <f t="shared" si="136"/>
        <v>514.51961710846979</v>
      </c>
      <c r="O483" s="2">
        <f t="shared" si="136"/>
        <v>568.83890288496889</v>
      </c>
      <c r="P483" s="2">
        <f t="shared" si="136"/>
        <v>613.57954785965887</v>
      </c>
      <c r="Q483" s="2">
        <f t="shared" si="136"/>
        <v>647.86850187986806</v>
      </c>
      <c r="R483" s="2">
        <f t="shared" si="136"/>
        <v>670.85756111047397</v>
      </c>
      <c r="S483" s="2">
        <f t="shared" si="136"/>
        <v>682.67334559203562</v>
      </c>
      <c r="T483" s="2">
        <f t="shared" si="136"/>
        <v>682.67334559203562</v>
      </c>
      <c r="U483" s="2">
        <f t="shared" si="136"/>
        <v>670.85756111047397</v>
      </c>
      <c r="V483" s="2">
        <f t="shared" si="136"/>
        <v>647.86850187986806</v>
      </c>
      <c r="W483" s="2">
        <f t="shared" si="136"/>
        <v>613.57954785965887</v>
      </c>
      <c r="X483" s="2">
        <f t="shared" si="136"/>
        <v>568.83890288496889</v>
      </c>
      <c r="Y483" s="2">
        <f t="shared" si="136"/>
        <v>514.51961710846979</v>
      </c>
      <c r="Z483" s="2">
        <f t="shared" si="136"/>
        <v>451.13757841429788</v>
      </c>
      <c r="AA483" s="2">
        <f t="shared" si="136"/>
        <v>380.2351312927849</v>
      </c>
      <c r="AB483" s="2">
        <f t="shared" si="136"/>
        <v>302.62413415426892</v>
      </c>
      <c r="AC483" s="2">
        <f t="shared" si="136"/>
        <v>219.97056784972216</v>
      </c>
      <c r="AD483" s="2">
        <f t="shared" si="136"/>
        <v>133.39582397075733</v>
      </c>
      <c r="AE483" s="2">
        <f t="shared" si="136"/>
        <v>44.607756663940144</v>
      </c>
      <c r="AF483" s="2"/>
    </row>
    <row r="484" spans="1:33">
      <c r="A484" s="20" t="s">
        <v>824</v>
      </c>
      <c r="B484" s="11"/>
      <c r="C484" s="11"/>
      <c r="D484" t="s">
        <v>1057</v>
      </c>
      <c r="E484" s="12"/>
      <c r="F484" s="18"/>
      <c r="G484" s="19">
        <f>SUM(H484:AE484)/48</f>
        <v>87.171807813020791</v>
      </c>
      <c r="H484" s="2">
        <f>H$66*$R$20</f>
        <v>17.843102665576058</v>
      </c>
      <c r="I484" s="2">
        <f t="shared" ref="I484:AE484" si="137">I$66*$R$20</f>
        <v>53.358329588302936</v>
      </c>
      <c r="J484" s="2">
        <f t="shared" si="137"/>
        <v>87.988227139888863</v>
      </c>
      <c r="K484" s="2">
        <f t="shared" si="137"/>
        <v>121.04965366170757</v>
      </c>
      <c r="L484" s="2">
        <f t="shared" si="137"/>
        <v>152.09405251711397</v>
      </c>
      <c r="M484" s="2">
        <f t="shared" si="137"/>
        <v>180.45503136571915</v>
      </c>
      <c r="N484" s="2">
        <f t="shared" si="137"/>
        <v>205.80784684338792</v>
      </c>
      <c r="O484" s="2">
        <f t="shared" si="137"/>
        <v>227.53556115398757</v>
      </c>
      <c r="P484" s="2">
        <f t="shared" si="137"/>
        <v>245.43181914386355</v>
      </c>
      <c r="Q484" s="2">
        <f t="shared" si="137"/>
        <v>259.14740075194726</v>
      </c>
      <c r="R484" s="2">
        <f t="shared" si="137"/>
        <v>268.34302444418961</v>
      </c>
      <c r="S484" s="2">
        <f t="shared" si="137"/>
        <v>273.06933823681425</v>
      </c>
      <c r="T484" s="2">
        <f t="shared" si="137"/>
        <v>273.06933823681425</v>
      </c>
      <c r="U484" s="2">
        <f t="shared" si="137"/>
        <v>268.34302444418961</v>
      </c>
      <c r="V484" s="2">
        <f t="shared" si="137"/>
        <v>259.14740075194726</v>
      </c>
      <c r="W484" s="2">
        <f t="shared" si="137"/>
        <v>245.43181914386355</v>
      </c>
      <c r="X484" s="2">
        <f t="shared" si="137"/>
        <v>227.53556115398757</v>
      </c>
      <c r="Y484" s="2">
        <f t="shared" si="137"/>
        <v>205.80784684338792</v>
      </c>
      <c r="Z484" s="2">
        <f t="shared" si="137"/>
        <v>180.45503136571915</v>
      </c>
      <c r="AA484" s="2">
        <f t="shared" si="137"/>
        <v>152.09405251711397</v>
      </c>
      <c r="AB484" s="2">
        <f t="shared" si="137"/>
        <v>121.04965366170757</v>
      </c>
      <c r="AC484" s="2">
        <f t="shared" si="137"/>
        <v>87.988227139888863</v>
      </c>
      <c r="AD484" s="2">
        <f t="shared" si="137"/>
        <v>53.358329588302936</v>
      </c>
      <c r="AE484" s="2">
        <f t="shared" si="137"/>
        <v>17.843102665576058</v>
      </c>
      <c r="AF484" s="2"/>
    </row>
    <row r="485" spans="1:33">
      <c r="A485" s="20"/>
      <c r="B485" s="5" t="s">
        <v>1060</v>
      </c>
      <c r="C485" s="11"/>
      <c r="D485" t="s">
        <v>773</v>
      </c>
      <c r="E485" s="12"/>
      <c r="F485" s="18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3">
      <c r="A486" s="20" t="s">
        <v>1104</v>
      </c>
      <c r="D486" t="s">
        <v>1058</v>
      </c>
      <c r="G486" s="19">
        <f>SUM(H486:AE486)/24</f>
        <v>340.45054939199986</v>
      </c>
      <c r="H486" s="2">
        <f>$R$24</f>
        <v>340.45054939200003</v>
      </c>
      <c r="I486" s="2">
        <f t="shared" ref="I486:AE486" si="138">$R$24</f>
        <v>340.45054939200003</v>
      </c>
      <c r="J486" s="2">
        <f t="shared" si="138"/>
        <v>340.45054939200003</v>
      </c>
      <c r="K486" s="2">
        <f t="shared" si="138"/>
        <v>340.45054939200003</v>
      </c>
      <c r="L486" s="2">
        <f t="shared" si="138"/>
        <v>340.45054939200003</v>
      </c>
      <c r="M486" s="2">
        <f t="shared" si="138"/>
        <v>340.45054939200003</v>
      </c>
      <c r="N486" s="2">
        <f t="shared" si="138"/>
        <v>340.45054939200003</v>
      </c>
      <c r="O486" s="2">
        <f t="shared" si="138"/>
        <v>340.45054939200003</v>
      </c>
      <c r="P486" s="2">
        <f t="shared" si="138"/>
        <v>340.45054939200003</v>
      </c>
      <c r="Q486" s="2">
        <f t="shared" si="138"/>
        <v>340.45054939200003</v>
      </c>
      <c r="R486" s="2">
        <f t="shared" si="138"/>
        <v>340.45054939200003</v>
      </c>
      <c r="S486" s="2">
        <f t="shared" si="138"/>
        <v>340.45054939200003</v>
      </c>
      <c r="T486" s="2">
        <f t="shared" si="138"/>
        <v>340.45054939200003</v>
      </c>
      <c r="U486" s="2">
        <f t="shared" si="138"/>
        <v>340.45054939200003</v>
      </c>
      <c r="V486" s="2">
        <f t="shared" si="138"/>
        <v>340.45054939200003</v>
      </c>
      <c r="W486" s="2">
        <f t="shared" si="138"/>
        <v>340.45054939200003</v>
      </c>
      <c r="X486" s="2">
        <f t="shared" si="138"/>
        <v>340.45054939200003</v>
      </c>
      <c r="Y486" s="2">
        <f t="shared" si="138"/>
        <v>340.45054939200003</v>
      </c>
      <c r="Z486" s="2">
        <f t="shared" si="138"/>
        <v>340.45054939200003</v>
      </c>
      <c r="AA486" s="2">
        <f t="shared" si="138"/>
        <v>340.45054939200003</v>
      </c>
      <c r="AB486" s="2">
        <f t="shared" si="138"/>
        <v>340.45054939200003</v>
      </c>
      <c r="AC486" s="2">
        <f t="shared" si="138"/>
        <v>340.45054939200003</v>
      </c>
      <c r="AD486" s="2">
        <f t="shared" si="138"/>
        <v>340.45054939200003</v>
      </c>
      <c r="AE486" s="2">
        <f t="shared" si="138"/>
        <v>340.45054939200003</v>
      </c>
      <c r="AF486" s="2"/>
    </row>
    <row r="487" spans="1:33">
      <c r="A487" s="20"/>
      <c r="B487" s="16" t="s">
        <v>720</v>
      </c>
      <c r="G487" s="32">
        <f>G484+G486</f>
        <v>427.62235720502065</v>
      </c>
      <c r="H487" s="3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3">
      <c r="A488" s="39" t="s">
        <v>509</v>
      </c>
      <c r="B488" s="16"/>
      <c r="G488" s="32"/>
      <c r="H488" s="3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3">
      <c r="A489" s="3" t="s">
        <v>326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3" s="27" customFormat="1">
      <c r="A490" s="27" t="s">
        <v>1031</v>
      </c>
      <c r="G490" s="55"/>
      <c r="H490" s="101">
        <f ca="1">Tabelle3!D$27</f>
        <v>0.79074671527924278</v>
      </c>
      <c r="I490" s="101">
        <f ca="1">Tabelle3!E$27</f>
        <v>0.40586360276784161</v>
      </c>
      <c r="J490" s="101">
        <f ca="1">Tabelle3!F$27</f>
        <v>0.27526068001453152</v>
      </c>
      <c r="K490" s="101">
        <f ca="1">Tabelle3!G$27</f>
        <v>0.21010203559986584</v>
      </c>
      <c r="L490" s="101">
        <f ca="1">Tabelle3!H$27</f>
        <v>0.1716672708893156</v>
      </c>
      <c r="M490" s="101">
        <f ca="1">Tabelle3!I$27</f>
        <v>0.14583576500588125</v>
      </c>
      <c r="N490" s="101">
        <f ca="1">Tabelle3!J$27</f>
        <v>0.12718848980606845</v>
      </c>
      <c r="O490" s="101">
        <f ca="1">Tabelle3!K$27</f>
        <v>0.11526376488281294</v>
      </c>
      <c r="P490" s="101">
        <f ca="1">Tabelle3!L$27</f>
        <v>0.10840165700634301</v>
      </c>
      <c r="Q490" s="101">
        <f ca="1">Tabelle3!M$27</f>
        <v>0.10309814819244642</v>
      </c>
      <c r="R490" s="101">
        <f ca="1">Tabelle3!N$27</f>
        <v>9.9497000232393176E-2</v>
      </c>
      <c r="S490" s="101">
        <f ca="1">Tabelle3!O$27</f>
        <v>9.7630950834911037E-2</v>
      </c>
      <c r="T490" s="101">
        <f ca="1">Tabelle3!P$27</f>
        <v>9.7630950834911037E-2</v>
      </c>
      <c r="U490" s="101">
        <f ca="1">Tabelle3!Q$27</f>
        <v>9.9497000232393176E-2</v>
      </c>
      <c r="V490" s="101">
        <f ca="1">Tabelle3!R$27</f>
        <v>0.10309814819244642</v>
      </c>
      <c r="W490" s="101">
        <f ca="1">Tabelle3!S$27</f>
        <v>0.10840165700634301</v>
      </c>
      <c r="X490" s="101">
        <f ca="1">Tabelle3!T$27</f>
        <v>0.11526376488281294</v>
      </c>
      <c r="Y490" s="101">
        <f ca="1">Tabelle3!U$27</f>
        <v>0.12718848980606845</v>
      </c>
      <c r="Z490" s="101">
        <f ca="1">Tabelle3!V$27</f>
        <v>0.14583576500588125</v>
      </c>
      <c r="AA490" s="101">
        <f ca="1">Tabelle3!W$27</f>
        <v>0.1716672708893156</v>
      </c>
      <c r="AB490" s="101">
        <f ca="1">Tabelle3!X$27</f>
        <v>0.21010203559986584</v>
      </c>
      <c r="AC490" s="101">
        <f ca="1">Tabelle3!Y$27</f>
        <v>0.27526068001453152</v>
      </c>
      <c r="AD490" s="101">
        <f ca="1">Tabelle3!Z$27</f>
        <v>0.40586360276784161</v>
      </c>
      <c r="AE490" s="101">
        <f ca="1">Tabelle3!AA$27</f>
        <v>0.79074671527924278</v>
      </c>
      <c r="AF490" s="55"/>
    </row>
    <row r="491" spans="1:33" s="27" customFormat="1">
      <c r="A491" s="27" t="s">
        <v>830</v>
      </c>
      <c r="F491" s="10">
        <f ca="1">Tabelle3!N$80</f>
        <v>1.9907587298357079</v>
      </c>
      <c r="H491" s="107">
        <f ca="1">$F$11*$F$142</f>
        <v>9.9537936491785398E-2</v>
      </c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55"/>
    </row>
    <row r="492" spans="1:33" ht="15" customHeight="1">
      <c r="A492" s="3" t="s">
        <v>831</v>
      </c>
      <c r="B492" s="11"/>
      <c r="C492" s="11"/>
      <c r="D492" s="11"/>
      <c r="E492" s="27"/>
      <c r="F492" s="6"/>
      <c r="G492" s="19">
        <f>SUM(H492:AE492)/48</f>
        <v>15.465083219141777</v>
      </c>
      <c r="H492" s="24">
        <f>H$66*H$490*$F$16</f>
        <v>17.63671852899321</v>
      </c>
      <c r="I492" s="24">
        <f t="shared" ref="I492:AE492" si="139">I$66*I$490*$F$16</f>
        <v>27.07025485547819</v>
      </c>
      <c r="J492" s="24">
        <f t="shared" si="139"/>
        <v>30.274624044748585</v>
      </c>
      <c r="K492" s="24">
        <f t="shared" si="139"/>
        <v>31.790973303729391</v>
      </c>
      <c r="L492" s="24">
        <f t="shared" si="139"/>
        <v>32.636963642636495</v>
      </c>
      <c r="M492" s="24">
        <f t="shared" si="139"/>
        <v>32.895996935474933</v>
      </c>
      <c r="N492" s="24">
        <f t="shared" si="139"/>
        <v>32.720486537811425</v>
      </c>
      <c r="O492" s="24">
        <f t="shared" si="139"/>
        <v>32.783256779165157</v>
      </c>
      <c r="P492" s="24">
        <f t="shared" si="139"/>
        <v>33.256519846594884</v>
      </c>
      <c r="Q492" s="24">
        <f t="shared" si="139"/>
        <v>33.397021408014446</v>
      </c>
      <c r="R492" s="24">
        <f t="shared" si="139"/>
        <v>33.374157456855777</v>
      </c>
      <c r="S492" s="24">
        <f t="shared" si="139"/>
        <v>33.325023919900133</v>
      </c>
      <c r="T492" s="24">
        <f t="shared" si="139"/>
        <v>33.325023919900133</v>
      </c>
      <c r="U492" s="24">
        <f t="shared" si="139"/>
        <v>33.374157456855777</v>
      </c>
      <c r="V492" s="24">
        <f t="shared" si="139"/>
        <v>33.397021408014446</v>
      </c>
      <c r="W492" s="24">
        <f t="shared" si="139"/>
        <v>33.256519846594884</v>
      </c>
      <c r="X492" s="24">
        <f t="shared" si="139"/>
        <v>32.783256779165157</v>
      </c>
      <c r="Y492" s="24">
        <f t="shared" si="139"/>
        <v>32.720486537811425</v>
      </c>
      <c r="Z492" s="24">
        <f t="shared" si="139"/>
        <v>32.895996935474933</v>
      </c>
      <c r="AA492" s="24">
        <f t="shared" si="139"/>
        <v>32.636963642636495</v>
      </c>
      <c r="AB492" s="24">
        <f t="shared" si="139"/>
        <v>31.790973303729391</v>
      </c>
      <c r="AC492" s="24">
        <f t="shared" si="139"/>
        <v>30.274624044748585</v>
      </c>
      <c r="AD492" s="24">
        <f t="shared" si="139"/>
        <v>27.07025485547819</v>
      </c>
      <c r="AE492" s="24">
        <f t="shared" si="139"/>
        <v>17.63671852899321</v>
      </c>
      <c r="AF492" s="28"/>
      <c r="AG492" s="11"/>
    </row>
    <row r="493" spans="1:33">
      <c r="A493" s="3"/>
      <c r="B493" s="5" t="s">
        <v>1061</v>
      </c>
      <c r="C493" s="11"/>
      <c r="D493" t="s">
        <v>1062</v>
      </c>
      <c r="F493" s="27"/>
      <c r="G493" t="s">
        <v>854</v>
      </c>
      <c r="I493" s="2"/>
      <c r="K493" s="2"/>
      <c r="M493" s="2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11"/>
    </row>
    <row r="494" spans="1:33">
      <c r="A494" s="3"/>
      <c r="C494" s="11"/>
      <c r="D494" s="2" t="s">
        <v>1063</v>
      </c>
      <c r="F494" s="27"/>
      <c r="G494" s="2"/>
      <c r="I494" s="2"/>
      <c r="K494" s="2"/>
      <c r="M494" s="2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11"/>
    </row>
    <row r="495" spans="1:33">
      <c r="A495" t="s">
        <v>879</v>
      </c>
      <c r="C495" s="11"/>
      <c r="G495" s="98">
        <f>SUM(H495:AE495)/48</f>
        <v>202.15513464902733</v>
      </c>
      <c r="H495" s="97">
        <f>H$66*(1-($F$16+$F$13)*H$490)</f>
        <v>26.61830376436707</v>
      </c>
      <c r="I495" s="97">
        <f t="shared" ref="I495:AE495" si="140">I$66*(1-($F$16+$F$13)*I$490)</f>
        <v>105.78416401816959</v>
      </c>
      <c r="J495" s="97">
        <f t="shared" si="140"/>
        <v>189.0904513240786</v>
      </c>
      <c r="K495" s="97">
        <f t="shared" si="140"/>
        <v>270.19734138446495</v>
      </c>
      <c r="L495" s="97">
        <f t="shared" si="140"/>
        <v>346.94542837729568</v>
      </c>
      <c r="M495" s="97">
        <f t="shared" si="140"/>
        <v>417.58366154011344</v>
      </c>
      <c r="N495" s="97">
        <f t="shared" si="140"/>
        <v>481.14472083990216</v>
      </c>
      <c r="O495" s="97">
        <f t="shared" si="140"/>
        <v>535.39998097022044</v>
      </c>
      <c r="P495" s="97">
        <f t="shared" si="140"/>
        <v>579.65789761613212</v>
      </c>
      <c r="Q495" s="97">
        <f t="shared" si="140"/>
        <v>613.80354004369326</v>
      </c>
      <c r="R495" s="97">
        <f t="shared" si="140"/>
        <v>636.81592050448103</v>
      </c>
      <c r="S495" s="97">
        <f t="shared" si="140"/>
        <v>648.68182119373751</v>
      </c>
      <c r="T495" s="97">
        <f t="shared" si="140"/>
        <v>648.68182119373751</v>
      </c>
      <c r="U495" s="97">
        <f t="shared" si="140"/>
        <v>636.81592050448103</v>
      </c>
      <c r="V495" s="97">
        <f t="shared" si="140"/>
        <v>613.80354004369326</v>
      </c>
      <c r="W495" s="97">
        <f t="shared" si="140"/>
        <v>579.65789761613212</v>
      </c>
      <c r="X495" s="97">
        <f t="shared" si="140"/>
        <v>535.39998097022044</v>
      </c>
      <c r="Y495" s="97">
        <f t="shared" si="140"/>
        <v>481.14472083990216</v>
      </c>
      <c r="Z495" s="97">
        <f t="shared" si="140"/>
        <v>417.58366154011344</v>
      </c>
      <c r="AA495" s="97">
        <f t="shared" si="140"/>
        <v>346.94542837729568</v>
      </c>
      <c r="AB495" s="97">
        <f t="shared" si="140"/>
        <v>270.19734138446495</v>
      </c>
      <c r="AC495" s="97">
        <f t="shared" si="140"/>
        <v>189.0904513240786</v>
      </c>
      <c r="AD495" s="97">
        <f t="shared" si="140"/>
        <v>105.78416401816959</v>
      </c>
      <c r="AE495" s="97">
        <f t="shared" si="140"/>
        <v>26.61830376436707</v>
      </c>
      <c r="AF495" s="28"/>
      <c r="AG495" s="11"/>
    </row>
    <row r="496" spans="1:33">
      <c r="B496" s="24" t="s">
        <v>1064</v>
      </c>
      <c r="D496" s="2" t="s">
        <v>1065</v>
      </c>
      <c r="E496" s="24" t="s">
        <v>900</v>
      </c>
      <c r="H496" t="s">
        <v>853</v>
      </c>
      <c r="AF496" s="28"/>
      <c r="AG496" s="11"/>
    </row>
    <row r="497" spans="1:33">
      <c r="A497" t="s">
        <v>832</v>
      </c>
      <c r="C497" s="11"/>
      <c r="D497" s="24"/>
      <c r="G497" s="97">
        <f>SUM(H497:AE497)/48</f>
        <v>80.862053859610924</v>
      </c>
      <c r="H497" s="97">
        <f>H495*$R$20</f>
        <v>10.647321505746829</v>
      </c>
      <c r="I497" s="97">
        <f t="shared" ref="I497:AE497" si="141">I495*$R$20</f>
        <v>42.313665607267836</v>
      </c>
      <c r="J497" s="97">
        <f t="shared" si="141"/>
        <v>75.636180529631446</v>
      </c>
      <c r="K497" s="97">
        <f t="shared" si="141"/>
        <v>108.07893655378598</v>
      </c>
      <c r="L497" s="97">
        <f t="shared" si="141"/>
        <v>138.77817135091829</v>
      </c>
      <c r="M497" s="97">
        <f t="shared" si="141"/>
        <v>167.03346461604539</v>
      </c>
      <c r="N497" s="97">
        <f t="shared" si="141"/>
        <v>192.45788833596089</v>
      </c>
      <c r="O497" s="97">
        <f t="shared" si="141"/>
        <v>214.1599923880882</v>
      </c>
      <c r="P497" s="97">
        <f t="shared" si="141"/>
        <v>231.86315904645286</v>
      </c>
      <c r="Q497" s="97">
        <f t="shared" si="141"/>
        <v>245.52141601747732</v>
      </c>
      <c r="R497" s="97">
        <f t="shared" si="141"/>
        <v>254.72636820179241</v>
      </c>
      <c r="S497" s="97">
        <f t="shared" si="141"/>
        <v>259.47272847749502</v>
      </c>
      <c r="T497" s="97">
        <f t="shared" si="141"/>
        <v>259.47272847749502</v>
      </c>
      <c r="U497" s="97">
        <f t="shared" si="141"/>
        <v>254.72636820179241</v>
      </c>
      <c r="V497" s="97">
        <f t="shared" si="141"/>
        <v>245.52141601747732</v>
      </c>
      <c r="W497" s="97">
        <f t="shared" si="141"/>
        <v>231.86315904645286</v>
      </c>
      <c r="X497" s="97">
        <f t="shared" si="141"/>
        <v>214.1599923880882</v>
      </c>
      <c r="Y497" s="97">
        <f t="shared" si="141"/>
        <v>192.45788833596089</v>
      </c>
      <c r="Z497" s="97">
        <f t="shared" si="141"/>
        <v>167.03346461604539</v>
      </c>
      <c r="AA497" s="97">
        <f t="shared" si="141"/>
        <v>138.77817135091829</v>
      </c>
      <c r="AB497" s="97">
        <f t="shared" si="141"/>
        <v>108.07893655378598</v>
      </c>
      <c r="AC497" s="97">
        <f t="shared" si="141"/>
        <v>75.636180529631446</v>
      </c>
      <c r="AD497" s="97">
        <f t="shared" si="141"/>
        <v>42.313665607267836</v>
      </c>
      <c r="AE497" s="97">
        <f t="shared" si="141"/>
        <v>10.647321505746829</v>
      </c>
      <c r="AF497" s="28"/>
      <c r="AG497" s="11"/>
    </row>
    <row r="498" spans="1:33">
      <c r="B498" s="24" t="s">
        <v>912</v>
      </c>
      <c r="C498" s="14" t="s">
        <v>1066</v>
      </c>
      <c r="D498" s="24" t="s">
        <v>1067</v>
      </c>
      <c r="AF498" s="28"/>
      <c r="AG498" s="11"/>
    </row>
    <row r="499" spans="1:33">
      <c r="A499" s="20" t="s">
        <v>833</v>
      </c>
      <c r="B499" s="11"/>
      <c r="C499" s="11"/>
      <c r="D499" s="11"/>
      <c r="E499" s="27"/>
      <c r="F499" s="6"/>
      <c r="G499" s="19">
        <f>SUM(H499:AE499)/48</f>
        <v>76.757144448957561</v>
      </c>
      <c r="H499" s="24">
        <f>H497*(1-($F$16+$F$13)*$H$491)</f>
        <v>10.106817175705038</v>
      </c>
      <c r="I499" s="24">
        <f t="shared" ref="I499:AE499" si="142">I497*(1-($F$16+$F$13)*$H$491)</f>
        <v>40.165639977692891</v>
      </c>
      <c r="J499" s="24">
        <f t="shared" si="142"/>
        <v>71.796559169271205</v>
      </c>
      <c r="K499" s="24">
        <f t="shared" si="142"/>
        <v>102.59237984916284</v>
      </c>
      <c r="L499" s="24">
        <f t="shared" si="142"/>
        <v>131.73318801966764</v>
      </c>
      <c r="M499" s="24">
        <f t="shared" si="142"/>
        <v>158.55411975563842</v>
      </c>
      <c r="N499" s="24">
        <f t="shared" si="142"/>
        <v>182.68788919203161</v>
      </c>
      <c r="O499" s="24">
        <f t="shared" si="142"/>
        <v>203.28830009017074</v>
      </c>
      <c r="P499" s="24">
        <f t="shared" si="142"/>
        <v>220.09277704247808</v>
      </c>
      <c r="Q499" s="24">
        <f t="shared" si="142"/>
        <v>233.05768150886766</v>
      </c>
      <c r="R499" s="24">
        <f t="shared" si="142"/>
        <v>241.79535030075729</v>
      </c>
      <c r="S499" s="24">
        <f t="shared" si="142"/>
        <v>246.30076469353799</v>
      </c>
      <c r="T499" s="24">
        <f t="shared" si="142"/>
        <v>246.30076469353799</v>
      </c>
      <c r="U499" s="24">
        <f t="shared" si="142"/>
        <v>241.79535030075729</v>
      </c>
      <c r="V499" s="24">
        <f t="shared" si="142"/>
        <v>233.05768150886766</v>
      </c>
      <c r="W499" s="24">
        <f t="shared" si="142"/>
        <v>220.09277704247808</v>
      </c>
      <c r="X499" s="24">
        <f t="shared" si="142"/>
        <v>203.28830009017074</v>
      </c>
      <c r="Y499" s="24">
        <f t="shared" si="142"/>
        <v>182.68788919203161</v>
      </c>
      <c r="Z499" s="24">
        <f t="shared" si="142"/>
        <v>158.55411975563842</v>
      </c>
      <c r="AA499" s="24">
        <f t="shared" si="142"/>
        <v>131.73318801966764</v>
      </c>
      <c r="AB499" s="24">
        <f t="shared" si="142"/>
        <v>102.59237984916284</v>
      </c>
      <c r="AC499" s="24">
        <f t="shared" si="142"/>
        <v>71.796559169271205</v>
      </c>
      <c r="AD499" s="24">
        <f t="shared" si="142"/>
        <v>40.165639977692891</v>
      </c>
      <c r="AE499" s="24">
        <f t="shared" si="142"/>
        <v>10.106817175705038</v>
      </c>
      <c r="AF499" s="28"/>
      <c r="AG499" s="11"/>
    </row>
    <row r="500" spans="1:33">
      <c r="A500" s="20"/>
      <c r="B500" s="24" t="s">
        <v>73</v>
      </c>
      <c r="C500" s="11"/>
      <c r="D500" t="s">
        <v>1068</v>
      </c>
      <c r="G500" s="27"/>
      <c r="H500" s="24" t="s">
        <v>900</v>
      </c>
      <c r="K500" t="s">
        <v>853</v>
      </c>
      <c r="M500" s="28"/>
      <c r="O500" s="28"/>
      <c r="P500" s="28"/>
      <c r="Q500" s="11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11"/>
    </row>
    <row r="501" spans="1:33">
      <c r="A501" t="s">
        <v>834</v>
      </c>
      <c r="B501" s="5"/>
      <c r="C501" s="11"/>
      <c r="D501" s="5" t="s">
        <v>23</v>
      </c>
      <c r="F501" t="s">
        <v>1082</v>
      </c>
      <c r="G501" s="97">
        <f>SUM(H501:AE501)/48</f>
        <v>4.0244209908366413</v>
      </c>
      <c r="H501" s="97">
        <f>H497*$H$491*$F$16</f>
        <v>0.52990620592332438</v>
      </c>
      <c r="I501" s="97">
        <f t="shared" ref="I501:AE501" si="143">I497*$H$491*$F$16</f>
        <v>2.1059074799754351</v>
      </c>
      <c r="J501" s="97">
        <f t="shared" si="143"/>
        <v>3.7643346670198352</v>
      </c>
      <c r="K501" s="97">
        <f t="shared" si="143"/>
        <v>5.378977161395226</v>
      </c>
      <c r="L501" s="97">
        <f t="shared" si="143"/>
        <v>6.9068464031869077</v>
      </c>
      <c r="M501" s="97">
        <f t="shared" si="143"/>
        <v>8.3130831964774057</v>
      </c>
      <c r="N501" s="97">
        <f t="shared" si="143"/>
        <v>9.578430533264001</v>
      </c>
      <c r="O501" s="97">
        <f t="shared" si="143"/>
        <v>10.658521860703384</v>
      </c>
      <c r="P501" s="97">
        <f t="shared" si="143"/>
        <v>11.539590199975281</v>
      </c>
      <c r="Q501" s="97">
        <f t="shared" si="143"/>
        <v>12.21934755746044</v>
      </c>
      <c r="R501" s="97">
        <f t="shared" si="143"/>
        <v>12.677468530426578</v>
      </c>
      <c r="S501" s="97">
        <f t="shared" si="143"/>
        <v>12.913689984271588</v>
      </c>
      <c r="T501" s="97">
        <f t="shared" si="143"/>
        <v>12.913689984271588</v>
      </c>
      <c r="U501" s="97">
        <f t="shared" si="143"/>
        <v>12.677468530426578</v>
      </c>
      <c r="V501" s="97">
        <f t="shared" si="143"/>
        <v>12.21934755746044</v>
      </c>
      <c r="W501" s="97">
        <f t="shared" si="143"/>
        <v>11.539590199975281</v>
      </c>
      <c r="X501" s="97">
        <f t="shared" si="143"/>
        <v>10.658521860703384</v>
      </c>
      <c r="Y501" s="97">
        <f t="shared" si="143"/>
        <v>9.578430533264001</v>
      </c>
      <c r="Z501" s="97">
        <f t="shared" si="143"/>
        <v>8.3130831964774057</v>
      </c>
      <c r="AA501" s="97">
        <f t="shared" si="143"/>
        <v>6.9068464031869077</v>
      </c>
      <c r="AB501" s="97">
        <f t="shared" si="143"/>
        <v>5.378977161395226</v>
      </c>
      <c r="AC501" s="97">
        <f t="shared" si="143"/>
        <v>3.7643346670198352</v>
      </c>
      <c r="AD501" s="97">
        <f t="shared" si="143"/>
        <v>2.1059074799754351</v>
      </c>
      <c r="AE501" s="97">
        <f t="shared" si="143"/>
        <v>0.52990620592332438</v>
      </c>
      <c r="AF501" s="28"/>
      <c r="AG501" s="11"/>
    </row>
    <row r="502" spans="1:33">
      <c r="A502" t="s">
        <v>909</v>
      </c>
      <c r="B502" s="5"/>
      <c r="C502" s="11"/>
      <c r="D502" s="5" t="s">
        <v>1081</v>
      </c>
      <c r="G502" s="97">
        <f>SUM(H502:AE502)/48</f>
        <v>1.6097683963346567</v>
      </c>
      <c r="H502" s="97">
        <f>H501*$R$20</f>
        <v>0.21196248236932977</v>
      </c>
      <c r="I502" s="97">
        <f t="shared" ref="I502:AE502" si="144">I501*$R$20</f>
        <v>0.84236299199017406</v>
      </c>
      <c r="J502" s="97">
        <f t="shared" si="144"/>
        <v>1.5057338668079341</v>
      </c>
      <c r="K502" s="97">
        <f t="shared" si="144"/>
        <v>2.1515908645580906</v>
      </c>
      <c r="L502" s="97">
        <f t="shared" si="144"/>
        <v>2.7627385612747632</v>
      </c>
      <c r="M502" s="97">
        <f t="shared" si="144"/>
        <v>3.3252332785909626</v>
      </c>
      <c r="N502" s="97">
        <f t="shared" si="144"/>
        <v>3.8313722133056007</v>
      </c>
      <c r="O502" s="97">
        <f t="shared" si="144"/>
        <v>4.263408744281354</v>
      </c>
      <c r="P502" s="97">
        <f t="shared" si="144"/>
        <v>4.615836079990113</v>
      </c>
      <c r="Q502" s="97">
        <f t="shared" si="144"/>
        <v>4.8877390229841762</v>
      </c>
      <c r="R502" s="97">
        <f t="shared" si="144"/>
        <v>5.0709874121706315</v>
      </c>
      <c r="S502" s="97">
        <f t="shared" si="144"/>
        <v>5.1654759937086361</v>
      </c>
      <c r="T502" s="97">
        <f t="shared" si="144"/>
        <v>5.1654759937086361</v>
      </c>
      <c r="U502" s="97">
        <f t="shared" si="144"/>
        <v>5.0709874121706315</v>
      </c>
      <c r="V502" s="97">
        <f t="shared" si="144"/>
        <v>4.8877390229841762</v>
      </c>
      <c r="W502" s="97">
        <f t="shared" si="144"/>
        <v>4.615836079990113</v>
      </c>
      <c r="X502" s="97">
        <f t="shared" si="144"/>
        <v>4.263408744281354</v>
      </c>
      <c r="Y502" s="97">
        <f t="shared" si="144"/>
        <v>3.8313722133056007</v>
      </c>
      <c r="Z502" s="97">
        <f t="shared" si="144"/>
        <v>3.3252332785909626</v>
      </c>
      <c r="AA502" s="97">
        <f t="shared" si="144"/>
        <v>2.7627385612747632</v>
      </c>
      <c r="AB502" s="97">
        <f t="shared" si="144"/>
        <v>2.1515908645580906</v>
      </c>
      <c r="AC502" s="97">
        <f t="shared" si="144"/>
        <v>1.5057338668079341</v>
      </c>
      <c r="AD502" s="97">
        <f t="shared" si="144"/>
        <v>0.84236299199017406</v>
      </c>
      <c r="AE502" s="97">
        <f t="shared" si="144"/>
        <v>0.21196248236932977</v>
      </c>
      <c r="AF502" s="28"/>
      <c r="AG502" s="11"/>
    </row>
    <row r="503" spans="1:33">
      <c r="A503" s="20" t="s">
        <v>835</v>
      </c>
      <c r="B503" s="5"/>
      <c r="C503" s="11"/>
      <c r="G503" s="19">
        <f>SUM(H503:AE503)/48</f>
        <v>1.5280495538902272</v>
      </c>
      <c r="H503" s="24">
        <f>H502*(1-($F$16+$F$13)*$H$491)</f>
        <v>0.20120234523388281</v>
      </c>
      <c r="I503" s="24">
        <f t="shared" ref="I503:AE503" si="145">I502*(1-($F$16+$F$13)*$H$491)</f>
        <v>0.79960098425030235</v>
      </c>
      <c r="J503" s="24">
        <f t="shared" si="145"/>
        <v>1.4292962693839262</v>
      </c>
      <c r="K503" s="24">
        <f t="shared" si="145"/>
        <v>2.042366757993419</v>
      </c>
      <c r="L503" s="24">
        <f t="shared" si="145"/>
        <v>2.6224899405924202</v>
      </c>
      <c r="M503" s="24">
        <f t="shared" si="145"/>
        <v>3.1564299805495355</v>
      </c>
      <c r="N503" s="24">
        <f t="shared" si="145"/>
        <v>3.6368751024429544</v>
      </c>
      <c r="O503" s="24">
        <f t="shared" si="145"/>
        <v>4.046979580779686</v>
      </c>
      <c r="P503" s="24">
        <f t="shared" si="145"/>
        <v>4.3815161727109739</v>
      </c>
      <c r="Q503" s="24">
        <f t="shared" si="145"/>
        <v>4.6396161401904834</v>
      </c>
      <c r="R503" s="24">
        <f t="shared" si="145"/>
        <v>4.8135620444491565</v>
      </c>
      <c r="S503" s="24">
        <f t="shared" si="145"/>
        <v>4.9032539747887132</v>
      </c>
      <c r="T503" s="24">
        <f t="shared" si="145"/>
        <v>4.9032539747887132</v>
      </c>
      <c r="U503" s="24">
        <f t="shared" si="145"/>
        <v>4.8135620444491565</v>
      </c>
      <c r="V503" s="24">
        <f t="shared" si="145"/>
        <v>4.6396161401904834</v>
      </c>
      <c r="W503" s="24">
        <f t="shared" si="145"/>
        <v>4.3815161727109739</v>
      </c>
      <c r="X503" s="24">
        <f t="shared" si="145"/>
        <v>4.046979580779686</v>
      </c>
      <c r="Y503" s="24">
        <f t="shared" si="145"/>
        <v>3.6368751024429544</v>
      </c>
      <c r="Z503" s="24">
        <f t="shared" si="145"/>
        <v>3.1564299805495355</v>
      </c>
      <c r="AA503" s="24">
        <f t="shared" si="145"/>
        <v>2.6224899405924202</v>
      </c>
      <c r="AB503" s="24">
        <f t="shared" si="145"/>
        <v>2.042366757993419</v>
      </c>
      <c r="AC503" s="24">
        <f t="shared" si="145"/>
        <v>1.4292962693839262</v>
      </c>
      <c r="AD503" s="24">
        <f t="shared" si="145"/>
        <v>0.79960098425030235</v>
      </c>
      <c r="AE503" s="24">
        <f t="shared" si="145"/>
        <v>0.20120234523388281</v>
      </c>
      <c r="AF503" s="28"/>
      <c r="AG503" s="11"/>
    </row>
    <row r="504" spans="1:33">
      <c r="A504" s="20"/>
      <c r="B504" s="24" t="s">
        <v>1069</v>
      </c>
      <c r="C504" s="11"/>
      <c r="D504" t="s">
        <v>1068</v>
      </c>
      <c r="G504" s="27"/>
      <c r="H504" s="24" t="s">
        <v>900</v>
      </c>
      <c r="K504" t="s">
        <v>853</v>
      </c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8"/>
      <c r="AG504" s="11"/>
    </row>
    <row r="505" spans="1:33">
      <c r="A505" s="100" t="s">
        <v>836</v>
      </c>
      <c r="B505" s="5"/>
      <c r="C505" s="11"/>
      <c r="G505" s="19">
        <f>SUM(H505:AE505)/48</f>
        <v>3.0419779890285298E-2</v>
      </c>
      <c r="H505" s="2">
        <f>H503^2/H499</f>
        <v>4.005453252377702E-3</v>
      </c>
      <c r="I505" s="2">
        <f t="shared" ref="I505:AE505" si="146">I503^2/I499</f>
        <v>1.591812639781514E-2</v>
      </c>
      <c r="J505" s="2">
        <f t="shared" si="146"/>
        <v>2.8453840257976613E-2</v>
      </c>
      <c r="K505" s="2">
        <f t="shared" si="146"/>
        <v>4.0658594530016523E-2</v>
      </c>
      <c r="L505" s="2">
        <f t="shared" si="146"/>
        <v>5.2207447431406873E-2</v>
      </c>
      <c r="M505" s="2">
        <f t="shared" si="146"/>
        <v>6.2836905388941419E-2</v>
      </c>
      <c r="N505" s="2">
        <f t="shared" si="146"/>
        <v>7.2401408595104466E-2</v>
      </c>
      <c r="O505" s="2">
        <f t="shared" si="146"/>
        <v>8.0565599299040142E-2</v>
      </c>
      <c r="P505" s="2">
        <f t="shared" si="146"/>
        <v>8.722541570740712E-2</v>
      </c>
      <c r="Q505" s="2">
        <f t="shared" si="146"/>
        <v>9.2363563341708574E-2</v>
      </c>
      <c r="R505" s="2">
        <f t="shared" si="146"/>
        <v>9.5826406615929755E-2</v>
      </c>
      <c r="S505" s="2">
        <f t="shared" si="146"/>
        <v>9.7611956549122664E-2</v>
      </c>
      <c r="T505" s="2">
        <f t="shared" si="146"/>
        <v>9.7611956549122664E-2</v>
      </c>
      <c r="U505" s="2">
        <f t="shared" si="146"/>
        <v>9.5826406615929755E-2</v>
      </c>
      <c r="V505" s="2">
        <f t="shared" si="146"/>
        <v>9.2363563341708574E-2</v>
      </c>
      <c r="W505" s="2">
        <f t="shared" si="146"/>
        <v>8.722541570740712E-2</v>
      </c>
      <c r="X505" s="2">
        <f t="shared" si="146"/>
        <v>8.0565599299040142E-2</v>
      </c>
      <c r="Y505" s="2">
        <f t="shared" si="146"/>
        <v>7.2401408595104466E-2</v>
      </c>
      <c r="Z505" s="2">
        <f t="shared" si="146"/>
        <v>6.2836905388941419E-2</v>
      </c>
      <c r="AA505" s="2">
        <f t="shared" si="146"/>
        <v>5.2207447431406873E-2</v>
      </c>
      <c r="AB505" s="2">
        <f t="shared" si="146"/>
        <v>4.0658594530016523E-2</v>
      </c>
      <c r="AC505" s="2">
        <f t="shared" si="146"/>
        <v>2.8453840257976613E-2</v>
      </c>
      <c r="AD505" s="2">
        <f t="shared" si="146"/>
        <v>1.591812639781514E-2</v>
      </c>
      <c r="AE505" s="2">
        <f t="shared" si="146"/>
        <v>4.005453252377702E-3</v>
      </c>
      <c r="AF505" s="28"/>
      <c r="AG505" s="11"/>
    </row>
    <row r="506" spans="1:33">
      <c r="A506" s="100"/>
      <c r="B506" s="24" t="s">
        <v>1083</v>
      </c>
      <c r="C506" s="11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8"/>
      <c r="AG506" s="11"/>
    </row>
    <row r="507" spans="1:33">
      <c r="A507" s="20" t="s">
        <v>837</v>
      </c>
      <c r="B507" s="11"/>
      <c r="C507" s="11"/>
      <c r="D507" s="11"/>
      <c r="E507" s="27"/>
      <c r="F507" s="6"/>
      <c r="G507" s="19">
        <f>SUM(H507:AE507)/24</f>
        <v>307.24055913130536</v>
      </c>
      <c r="H507" s="24">
        <f>$R$24*(1-$H$491*(1-$F$14))</f>
        <v>307.24055913130519</v>
      </c>
      <c r="I507" s="24">
        <f t="shared" ref="I507:AE507" si="147">$R$24*(1-$H$491*(1-$F$14))</f>
        <v>307.24055913130519</v>
      </c>
      <c r="J507" s="24">
        <f t="shared" si="147"/>
        <v>307.24055913130519</v>
      </c>
      <c r="K507" s="24">
        <f t="shared" si="147"/>
        <v>307.24055913130519</v>
      </c>
      <c r="L507" s="24">
        <f t="shared" si="147"/>
        <v>307.24055913130519</v>
      </c>
      <c r="M507" s="24">
        <f t="shared" si="147"/>
        <v>307.24055913130519</v>
      </c>
      <c r="N507" s="24">
        <f t="shared" si="147"/>
        <v>307.24055913130519</v>
      </c>
      <c r="O507" s="24">
        <f t="shared" si="147"/>
        <v>307.24055913130519</v>
      </c>
      <c r="P507" s="24">
        <f t="shared" si="147"/>
        <v>307.24055913130519</v>
      </c>
      <c r="Q507" s="24">
        <f t="shared" si="147"/>
        <v>307.24055913130519</v>
      </c>
      <c r="R507" s="24">
        <f t="shared" si="147"/>
        <v>307.24055913130519</v>
      </c>
      <c r="S507" s="24">
        <f t="shared" si="147"/>
        <v>307.24055913130519</v>
      </c>
      <c r="T507" s="24">
        <f t="shared" si="147"/>
        <v>307.24055913130519</v>
      </c>
      <c r="U507" s="24">
        <f t="shared" si="147"/>
        <v>307.24055913130519</v>
      </c>
      <c r="V507" s="24">
        <f t="shared" si="147"/>
        <v>307.24055913130519</v>
      </c>
      <c r="W507" s="24">
        <f t="shared" si="147"/>
        <v>307.24055913130519</v>
      </c>
      <c r="X507" s="24">
        <f t="shared" si="147"/>
        <v>307.24055913130519</v>
      </c>
      <c r="Y507" s="24">
        <f t="shared" si="147"/>
        <v>307.24055913130519</v>
      </c>
      <c r="Z507" s="24">
        <f t="shared" si="147"/>
        <v>307.24055913130519</v>
      </c>
      <c r="AA507" s="24">
        <f t="shared" si="147"/>
        <v>307.24055913130519</v>
      </c>
      <c r="AB507" s="24">
        <f t="shared" si="147"/>
        <v>307.24055913130519</v>
      </c>
      <c r="AC507" s="24">
        <f t="shared" si="147"/>
        <v>307.24055913130519</v>
      </c>
      <c r="AD507" s="24">
        <f t="shared" si="147"/>
        <v>307.24055913130519</v>
      </c>
      <c r="AE507" s="24">
        <f t="shared" si="147"/>
        <v>307.24055913130519</v>
      </c>
      <c r="AF507" s="28"/>
      <c r="AG507" s="11"/>
    </row>
    <row r="508" spans="1:33">
      <c r="A508" s="20"/>
      <c r="B508" s="5" t="s">
        <v>1084</v>
      </c>
      <c r="C508" s="11"/>
      <c r="D508" t="s">
        <v>252</v>
      </c>
      <c r="E508" s="2"/>
      <c r="G508" t="s">
        <v>1070</v>
      </c>
      <c r="I508" s="11"/>
      <c r="J508" s="28"/>
      <c r="K508" s="2" t="s">
        <v>844</v>
      </c>
      <c r="L508" s="12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11"/>
    </row>
    <row r="509" spans="1:33">
      <c r="A509" s="12" t="s">
        <v>573</v>
      </c>
      <c r="B509" t="s">
        <v>839</v>
      </c>
      <c r="E509" s="12"/>
      <c r="F509" s="6"/>
      <c r="G509" s="32"/>
      <c r="H509" s="3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3">
      <c r="A510" s="11"/>
      <c r="B510" s="14" t="s">
        <v>870</v>
      </c>
      <c r="E510" s="12"/>
      <c r="F510" s="6"/>
      <c r="G510" s="32"/>
      <c r="H510" s="3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3">
      <c r="A511" s="11"/>
      <c r="B511" s="14" t="s">
        <v>845</v>
      </c>
      <c r="E511" s="12"/>
      <c r="F511" s="6"/>
      <c r="G511" s="32"/>
      <c r="H511" s="3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3">
      <c r="A512" s="11"/>
      <c r="B512" s="14" t="s">
        <v>842</v>
      </c>
      <c r="E512" s="12"/>
      <c r="F512" s="6"/>
      <c r="G512" s="32"/>
      <c r="H512" s="3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3">
      <c r="A513" s="20" t="s">
        <v>914</v>
      </c>
      <c r="B513" s="11"/>
      <c r="C513" s="11"/>
      <c r="D513" s="11"/>
      <c r="E513" s="27"/>
      <c r="F513" s="6"/>
      <c r="G513" s="19">
        <f>SUM(H513:AE513)/24</f>
        <v>12.551783676120003</v>
      </c>
      <c r="H513" s="24">
        <f t="shared" ref="H513:AE513" si="148">$M$9*($F$9+273)^4*$F$11*$H$18</f>
        <v>12.551783676119999</v>
      </c>
      <c r="I513" s="24">
        <f t="shared" si="148"/>
        <v>12.551783676119999</v>
      </c>
      <c r="J513" s="24">
        <f t="shared" si="148"/>
        <v>12.551783676119999</v>
      </c>
      <c r="K513" s="24">
        <f t="shared" si="148"/>
        <v>12.551783676119999</v>
      </c>
      <c r="L513" s="24">
        <f t="shared" si="148"/>
        <v>12.551783676119999</v>
      </c>
      <c r="M513" s="24">
        <f t="shared" si="148"/>
        <v>12.551783676119999</v>
      </c>
      <c r="N513" s="24">
        <f t="shared" si="148"/>
        <v>12.551783676119999</v>
      </c>
      <c r="O513" s="24">
        <f t="shared" si="148"/>
        <v>12.551783676119999</v>
      </c>
      <c r="P513" s="24">
        <f t="shared" si="148"/>
        <v>12.551783676119999</v>
      </c>
      <c r="Q513" s="24">
        <f t="shared" si="148"/>
        <v>12.551783676119999</v>
      </c>
      <c r="R513" s="24">
        <f t="shared" si="148"/>
        <v>12.551783676119999</v>
      </c>
      <c r="S513" s="24">
        <f t="shared" si="148"/>
        <v>12.551783676119999</v>
      </c>
      <c r="T513" s="24">
        <f t="shared" si="148"/>
        <v>12.551783676119999</v>
      </c>
      <c r="U513" s="24">
        <f t="shared" si="148"/>
        <v>12.551783676119999</v>
      </c>
      <c r="V513" s="24">
        <f t="shared" si="148"/>
        <v>12.551783676119999</v>
      </c>
      <c r="W513" s="24">
        <f t="shared" si="148"/>
        <v>12.551783676119999</v>
      </c>
      <c r="X513" s="24">
        <f t="shared" si="148"/>
        <v>12.551783676119999</v>
      </c>
      <c r="Y513" s="24">
        <f t="shared" si="148"/>
        <v>12.551783676119999</v>
      </c>
      <c r="Z513" s="24">
        <f t="shared" si="148"/>
        <v>12.551783676119999</v>
      </c>
      <c r="AA513" s="24">
        <f t="shared" si="148"/>
        <v>12.551783676119999</v>
      </c>
      <c r="AB513" s="24">
        <f t="shared" si="148"/>
        <v>12.551783676119999</v>
      </c>
      <c r="AC513" s="24">
        <f t="shared" si="148"/>
        <v>12.551783676119999</v>
      </c>
      <c r="AD513" s="24">
        <f t="shared" si="148"/>
        <v>12.551783676119999</v>
      </c>
      <c r="AE513" s="24">
        <f t="shared" si="148"/>
        <v>12.551783676119999</v>
      </c>
      <c r="AF513" s="28"/>
      <c r="AG513" s="11"/>
    </row>
    <row r="514" spans="1:33">
      <c r="A514" s="20"/>
      <c r="B514" s="5" t="s">
        <v>272</v>
      </c>
      <c r="C514" s="11"/>
      <c r="D514" t="s">
        <v>743</v>
      </c>
      <c r="E514" s="27"/>
      <c r="F514" s="6"/>
      <c r="G514" s="28"/>
      <c r="H514" t="s">
        <v>717</v>
      </c>
      <c r="I514" s="29"/>
      <c r="J514" s="11"/>
      <c r="K514" s="2" t="s">
        <v>273</v>
      </c>
      <c r="L514" s="11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11"/>
    </row>
    <row r="515" spans="1:33">
      <c r="A515" s="20"/>
      <c r="B515" s="27" t="s">
        <v>925</v>
      </c>
      <c r="C515" s="11" t="s">
        <v>266</v>
      </c>
      <c r="E515" s="27"/>
      <c r="F515" s="6"/>
      <c r="G515" s="28"/>
      <c r="I515" s="29"/>
      <c r="J515" s="11"/>
      <c r="K515" s="2"/>
      <c r="L515" s="11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11"/>
    </row>
    <row r="516" spans="1:33">
      <c r="A516" s="20"/>
      <c r="B516" s="14"/>
      <c r="C516" t="s">
        <v>274</v>
      </c>
      <c r="E516" s="27"/>
      <c r="F516" s="6"/>
      <c r="G516" s="28"/>
      <c r="I516" s="29"/>
      <c r="J516" s="11"/>
      <c r="K516" s="2"/>
      <c r="L516" s="11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11"/>
    </row>
    <row r="517" spans="1:33">
      <c r="A517" s="20"/>
      <c r="B517" s="16" t="s">
        <v>332</v>
      </c>
      <c r="C517" s="11"/>
      <c r="D517" s="11"/>
      <c r="E517" s="27"/>
      <c r="F517" s="6"/>
      <c r="G517" s="32">
        <f>G492+G499+G503+G505+G507+G513</f>
        <v>413.57303980930521</v>
      </c>
      <c r="H517" s="33"/>
      <c r="I517" s="29"/>
      <c r="J517" s="28"/>
      <c r="K517" s="11"/>
      <c r="L517" s="11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11"/>
    </row>
    <row r="518" spans="1:33">
      <c r="A518" s="20"/>
      <c r="B518" s="16" t="s">
        <v>721</v>
      </c>
      <c r="G518" s="32">
        <f>G487-G517</f>
        <v>14.049317395715434</v>
      </c>
      <c r="H518" s="33"/>
      <c r="I518" s="8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3">
      <c r="A519" s="39" t="s">
        <v>509</v>
      </c>
      <c r="B519" s="16"/>
      <c r="G519" s="32"/>
      <c r="H519" s="3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3">
      <c r="A520" s="3" t="s">
        <v>771</v>
      </c>
      <c r="G520" t="s">
        <v>535</v>
      </c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3">
      <c r="A521" s="20" t="s">
        <v>873</v>
      </c>
      <c r="B521" s="11"/>
      <c r="C521" s="11"/>
      <c r="D521" s="11"/>
      <c r="E521" s="14" t="s">
        <v>563</v>
      </c>
      <c r="F521" s="31">
        <f>$F$15</f>
        <v>0.7</v>
      </c>
      <c r="G521" s="19">
        <f>SUM(H521:AE521)/48</f>
        <v>104.19338332935867</v>
      </c>
      <c r="H521" s="2">
        <f>H$66*H$27*$F$15</f>
        <v>0</v>
      </c>
      <c r="I521" s="2">
        <f t="shared" ref="I521:AE521" si="149">I$66*I$27*$F$15</f>
        <v>0</v>
      </c>
      <c r="J521" s="2">
        <f t="shared" si="149"/>
        <v>0</v>
      </c>
      <c r="K521" s="2">
        <f t="shared" si="149"/>
        <v>0</v>
      </c>
      <c r="L521" s="2">
        <f t="shared" si="149"/>
        <v>0</v>
      </c>
      <c r="M521" s="2">
        <f t="shared" si="149"/>
        <v>0</v>
      </c>
      <c r="N521" s="2">
        <f t="shared" si="149"/>
        <v>0</v>
      </c>
      <c r="O521" s="2">
        <f t="shared" si="149"/>
        <v>0</v>
      </c>
      <c r="P521" s="2">
        <f t="shared" si="149"/>
        <v>429.50568350176121</v>
      </c>
      <c r="Q521" s="2">
        <f t="shared" si="149"/>
        <v>453.50795131590763</v>
      </c>
      <c r="R521" s="2">
        <f t="shared" si="149"/>
        <v>469.60029277733173</v>
      </c>
      <c r="S521" s="2">
        <f t="shared" si="149"/>
        <v>477.87134191442487</v>
      </c>
      <c r="T521" s="2">
        <f t="shared" si="149"/>
        <v>477.87134191442487</v>
      </c>
      <c r="U521" s="2">
        <f t="shared" si="149"/>
        <v>469.60029277733173</v>
      </c>
      <c r="V521" s="2">
        <f t="shared" si="149"/>
        <v>453.50795131590763</v>
      </c>
      <c r="W521" s="2">
        <f t="shared" si="149"/>
        <v>429.50568350176121</v>
      </c>
      <c r="X521" s="2">
        <f t="shared" si="149"/>
        <v>398.18723201947819</v>
      </c>
      <c r="Y521" s="2">
        <f t="shared" si="149"/>
        <v>360.16373197592884</v>
      </c>
      <c r="Z521" s="2">
        <f t="shared" si="149"/>
        <v>315.79630489000851</v>
      </c>
      <c r="AA521" s="2">
        <f t="shared" si="149"/>
        <v>266.16459190494942</v>
      </c>
      <c r="AB521" s="2">
        <f t="shared" si="149"/>
        <v>0</v>
      </c>
      <c r="AC521" s="2">
        <f t="shared" si="149"/>
        <v>0</v>
      </c>
      <c r="AD521" s="2">
        <f t="shared" si="149"/>
        <v>0</v>
      </c>
      <c r="AE521" s="2">
        <f t="shared" si="149"/>
        <v>0</v>
      </c>
      <c r="AF521" s="2"/>
    </row>
    <row r="522" spans="1:33">
      <c r="A522" s="5"/>
      <c r="B522" s="5" t="s">
        <v>1087</v>
      </c>
      <c r="C522" s="11"/>
      <c r="D522" t="s">
        <v>19</v>
      </c>
      <c r="E522" s="12"/>
      <c r="F522" s="18"/>
      <c r="G522" s="19"/>
      <c r="H522" s="2" t="s">
        <v>860</v>
      </c>
      <c r="I522" s="2"/>
      <c r="J522" s="2" t="s">
        <v>861</v>
      </c>
      <c r="K522" s="26"/>
      <c r="L522" s="2"/>
      <c r="M522" s="2"/>
      <c r="N522" s="2"/>
      <c r="O522" s="26"/>
      <c r="P522" s="2"/>
      <c r="Q522" s="2"/>
      <c r="R522" s="26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3">
      <c r="A523" s="20" t="s">
        <v>874</v>
      </c>
      <c r="G523" s="19">
        <f>SUM(H523:AE523)/48</f>
        <v>27.781579315286326</v>
      </c>
      <c r="H523" s="2">
        <f>H$66*$R$20*H$28^2</f>
        <v>17.843102665576058</v>
      </c>
      <c r="I523" s="2">
        <f t="shared" ref="I523:AE523" si="150">I$66*$R$20*I$28^2</f>
        <v>53.358329588302936</v>
      </c>
      <c r="J523" s="2">
        <f t="shared" si="150"/>
        <v>87.988227139888863</v>
      </c>
      <c r="K523" s="2">
        <f t="shared" si="150"/>
        <v>121.04965366170757</v>
      </c>
      <c r="L523" s="2">
        <f t="shared" si="150"/>
        <v>152.09405251711397</v>
      </c>
      <c r="M523" s="2">
        <f t="shared" si="150"/>
        <v>180.45503136571915</v>
      </c>
      <c r="N523" s="2">
        <f t="shared" si="150"/>
        <v>205.80784684338792</v>
      </c>
      <c r="O523" s="2">
        <f t="shared" si="150"/>
        <v>227.53556115398757</v>
      </c>
      <c r="P523" s="2">
        <f t="shared" si="150"/>
        <v>0.61357954785965996</v>
      </c>
      <c r="Q523" s="2">
        <f t="shared" si="150"/>
        <v>0.64786850187986933</v>
      </c>
      <c r="R523" s="2">
        <f t="shared" si="150"/>
        <v>0.67085756111047523</v>
      </c>
      <c r="S523" s="2">
        <f t="shared" si="150"/>
        <v>0.68267334559203685</v>
      </c>
      <c r="T523" s="2">
        <f t="shared" si="150"/>
        <v>0.68267334559203685</v>
      </c>
      <c r="U523" s="2">
        <f t="shared" si="150"/>
        <v>0.67085756111047523</v>
      </c>
      <c r="V523" s="2">
        <f t="shared" si="150"/>
        <v>0.64786850187986933</v>
      </c>
      <c r="W523" s="2">
        <f t="shared" si="150"/>
        <v>0.61357954785965996</v>
      </c>
      <c r="X523" s="2">
        <f t="shared" si="150"/>
        <v>0.56883890288496997</v>
      </c>
      <c r="Y523" s="2">
        <f t="shared" si="150"/>
        <v>0.51451961710847072</v>
      </c>
      <c r="Z523" s="2">
        <f t="shared" si="150"/>
        <v>0.45113757841429869</v>
      </c>
      <c r="AA523" s="2">
        <f t="shared" si="150"/>
        <v>0.38023513129278558</v>
      </c>
      <c r="AB523" s="2">
        <f t="shared" si="150"/>
        <v>121.04965366170757</v>
      </c>
      <c r="AC523" s="2">
        <f t="shared" si="150"/>
        <v>87.988227139888863</v>
      </c>
      <c r="AD523" s="2">
        <f t="shared" si="150"/>
        <v>53.358329588302936</v>
      </c>
      <c r="AE523" s="2">
        <f t="shared" si="150"/>
        <v>17.843102665576058</v>
      </c>
      <c r="AF523" s="2"/>
    </row>
    <row r="524" spans="1:33">
      <c r="A524" s="16"/>
      <c r="B524" s="5" t="s">
        <v>1088</v>
      </c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3">
      <c r="A525" s="20" t="s">
        <v>875</v>
      </c>
      <c r="E525" s="12"/>
      <c r="F525" s="6"/>
      <c r="G525" s="19">
        <f>(SUM(H525:AE525)+24*$R$24)/48</f>
        <v>255.33791204400003</v>
      </c>
      <c r="H525" s="2">
        <f t="shared" ref="H525:AE525" si="151">$R$24*(1-H$27)</f>
        <v>340.45054939200003</v>
      </c>
      <c r="I525" s="2">
        <f t="shared" si="151"/>
        <v>340.45054939200003</v>
      </c>
      <c r="J525" s="2">
        <f t="shared" si="151"/>
        <v>340.45054939200003</v>
      </c>
      <c r="K525" s="2">
        <f t="shared" si="151"/>
        <v>340.45054939200003</v>
      </c>
      <c r="L525" s="2">
        <f t="shared" si="151"/>
        <v>340.45054939200003</v>
      </c>
      <c r="M525" s="2">
        <f t="shared" si="151"/>
        <v>340.45054939200003</v>
      </c>
      <c r="N525" s="2">
        <f t="shared" si="151"/>
        <v>340.45054939200003</v>
      </c>
      <c r="O525" s="2">
        <f t="shared" si="151"/>
        <v>340.45054939200003</v>
      </c>
      <c r="P525" s="2">
        <f t="shared" si="151"/>
        <v>0</v>
      </c>
      <c r="Q525" s="2">
        <f t="shared" si="151"/>
        <v>0</v>
      </c>
      <c r="R525" s="2">
        <f t="shared" si="151"/>
        <v>0</v>
      </c>
      <c r="S525" s="2">
        <f t="shared" si="151"/>
        <v>0</v>
      </c>
      <c r="T525" s="2">
        <f t="shared" si="151"/>
        <v>0</v>
      </c>
      <c r="U525" s="2">
        <f t="shared" si="151"/>
        <v>0</v>
      </c>
      <c r="V525" s="2">
        <f t="shared" si="151"/>
        <v>0</v>
      </c>
      <c r="W525" s="2">
        <f t="shared" si="151"/>
        <v>0</v>
      </c>
      <c r="X525" s="2">
        <f t="shared" si="151"/>
        <v>0</v>
      </c>
      <c r="Y525" s="2">
        <f t="shared" si="151"/>
        <v>0</v>
      </c>
      <c r="Z525" s="2">
        <f t="shared" si="151"/>
        <v>0</v>
      </c>
      <c r="AA525" s="2">
        <f t="shared" si="151"/>
        <v>0</v>
      </c>
      <c r="AB525" s="2">
        <f t="shared" si="151"/>
        <v>340.45054939200003</v>
      </c>
      <c r="AC525" s="2">
        <f t="shared" si="151"/>
        <v>340.45054939200003</v>
      </c>
      <c r="AD525" s="2">
        <f t="shared" si="151"/>
        <v>340.45054939200003</v>
      </c>
      <c r="AE525" s="2">
        <f t="shared" si="151"/>
        <v>340.45054939200003</v>
      </c>
      <c r="AF525" s="2"/>
    </row>
    <row r="526" spans="1:33">
      <c r="A526" s="20"/>
      <c r="C526" s="5" t="s">
        <v>1085</v>
      </c>
      <c r="D526" t="s">
        <v>1058</v>
      </c>
      <c r="E526" s="12"/>
      <c r="F526" s="6"/>
      <c r="G526" s="19"/>
      <c r="H526" s="2" t="s">
        <v>860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3">
      <c r="A527" s="20" t="s">
        <v>876</v>
      </c>
      <c r="E527" s="12">
        <f>$F$7</f>
        <v>-5</v>
      </c>
      <c r="F527" s="6" t="s">
        <v>558</v>
      </c>
      <c r="G527" s="19">
        <f>SUM(H527:AE527)/48</f>
        <v>73.51128940800001</v>
      </c>
      <c r="H527" s="2">
        <f t="shared" ref="H527:AE527" si="152">$M$9*($F$7+273)^4*H$27</f>
        <v>0</v>
      </c>
      <c r="I527" s="2">
        <f t="shared" si="152"/>
        <v>0</v>
      </c>
      <c r="J527" s="2">
        <f t="shared" si="152"/>
        <v>0</v>
      </c>
      <c r="K527" s="2">
        <f t="shared" si="152"/>
        <v>0</v>
      </c>
      <c r="L527" s="2">
        <f t="shared" si="152"/>
        <v>0</v>
      </c>
      <c r="M527" s="2">
        <f t="shared" si="152"/>
        <v>0</v>
      </c>
      <c r="N527" s="2">
        <f t="shared" si="152"/>
        <v>0</v>
      </c>
      <c r="O527" s="2">
        <f t="shared" si="152"/>
        <v>0</v>
      </c>
      <c r="P527" s="2">
        <f t="shared" si="152"/>
        <v>294.04515763199998</v>
      </c>
      <c r="Q527" s="2">
        <f t="shared" si="152"/>
        <v>294.04515763199998</v>
      </c>
      <c r="R527" s="2">
        <f t="shared" si="152"/>
        <v>294.04515763199998</v>
      </c>
      <c r="S527" s="2">
        <f t="shared" si="152"/>
        <v>294.04515763199998</v>
      </c>
      <c r="T527" s="2">
        <f t="shared" si="152"/>
        <v>294.04515763199998</v>
      </c>
      <c r="U527" s="2">
        <f t="shared" si="152"/>
        <v>294.04515763199998</v>
      </c>
      <c r="V527" s="2">
        <f t="shared" si="152"/>
        <v>294.04515763199998</v>
      </c>
      <c r="W527" s="2">
        <f t="shared" si="152"/>
        <v>294.04515763199998</v>
      </c>
      <c r="X527" s="2">
        <f t="shared" si="152"/>
        <v>294.04515763199998</v>
      </c>
      <c r="Y527" s="2">
        <f t="shared" si="152"/>
        <v>294.04515763199998</v>
      </c>
      <c r="Z527" s="2">
        <f t="shared" si="152"/>
        <v>294.04515763199998</v>
      </c>
      <c r="AA527" s="2">
        <f t="shared" si="152"/>
        <v>294.04515763199998</v>
      </c>
      <c r="AB527" s="2">
        <f t="shared" si="152"/>
        <v>0</v>
      </c>
      <c r="AC527" s="2">
        <f t="shared" si="152"/>
        <v>0</v>
      </c>
      <c r="AD527" s="2">
        <f t="shared" si="152"/>
        <v>0</v>
      </c>
      <c r="AE527" s="2">
        <f t="shared" si="152"/>
        <v>0</v>
      </c>
      <c r="AF527" s="2"/>
    </row>
    <row r="528" spans="1:33">
      <c r="A528" s="20"/>
      <c r="B528" t="s">
        <v>865</v>
      </c>
      <c r="D528" t="s">
        <v>743</v>
      </c>
      <c r="E528" s="30"/>
      <c r="F528" s="6"/>
      <c r="G528" s="19"/>
      <c r="H528" t="s">
        <v>617</v>
      </c>
      <c r="I528" s="2"/>
      <c r="K528" s="2" t="s">
        <v>860</v>
      </c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3">
      <c r="A529" s="20"/>
      <c r="B529" s="16" t="s">
        <v>724</v>
      </c>
      <c r="E529" s="30"/>
      <c r="F529" s="6"/>
      <c r="G529" s="32">
        <f>G521+G523+G525+G527</f>
        <v>460.82416409664506</v>
      </c>
      <c r="H529" s="3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3">
      <c r="A530" s="39" t="s">
        <v>509</v>
      </c>
      <c r="B530" s="16"/>
      <c r="E530" s="30"/>
      <c r="G530" s="32"/>
      <c r="H530" s="33"/>
      <c r="I530" s="3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3">
      <c r="A531" s="3" t="s">
        <v>320</v>
      </c>
      <c r="E531" s="12"/>
      <c r="F531" s="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3">
      <c r="A532" s="3" t="s">
        <v>877</v>
      </c>
      <c r="G532" s="19">
        <f>SUM(H532:AE532)/48</f>
        <v>15.465083219141777</v>
      </c>
      <c r="H532" s="24">
        <f>H$66*H$490*$F$16</f>
        <v>17.63671852899321</v>
      </c>
      <c r="I532" s="24">
        <f t="shared" ref="I532:AE532" si="153">I$66*I$490*$F$16</f>
        <v>27.07025485547819</v>
      </c>
      <c r="J532" s="24">
        <f t="shared" si="153"/>
        <v>30.274624044748585</v>
      </c>
      <c r="K532" s="24">
        <f t="shared" si="153"/>
        <v>31.790973303729391</v>
      </c>
      <c r="L532" s="24">
        <f t="shared" si="153"/>
        <v>32.636963642636495</v>
      </c>
      <c r="M532" s="24">
        <f t="shared" si="153"/>
        <v>32.895996935474933</v>
      </c>
      <c r="N532" s="24">
        <f t="shared" si="153"/>
        <v>32.720486537811425</v>
      </c>
      <c r="O532" s="24">
        <f t="shared" si="153"/>
        <v>32.783256779165157</v>
      </c>
      <c r="P532" s="24">
        <f t="shared" si="153"/>
        <v>33.256519846594884</v>
      </c>
      <c r="Q532" s="24">
        <f t="shared" si="153"/>
        <v>33.397021408014446</v>
      </c>
      <c r="R532" s="24">
        <f t="shared" si="153"/>
        <v>33.374157456855777</v>
      </c>
      <c r="S532" s="24">
        <f t="shared" si="153"/>
        <v>33.325023919900133</v>
      </c>
      <c r="T532" s="24">
        <f t="shared" si="153"/>
        <v>33.325023919900133</v>
      </c>
      <c r="U532" s="24">
        <f t="shared" si="153"/>
        <v>33.374157456855777</v>
      </c>
      <c r="V532" s="24">
        <f t="shared" si="153"/>
        <v>33.397021408014446</v>
      </c>
      <c r="W532" s="24">
        <f t="shared" si="153"/>
        <v>33.256519846594884</v>
      </c>
      <c r="X532" s="24">
        <f t="shared" si="153"/>
        <v>32.783256779165157</v>
      </c>
      <c r="Y532" s="24">
        <f t="shared" si="153"/>
        <v>32.720486537811425</v>
      </c>
      <c r="Z532" s="24">
        <f t="shared" si="153"/>
        <v>32.895996935474933</v>
      </c>
      <c r="AA532" s="24">
        <f t="shared" si="153"/>
        <v>32.636963642636495</v>
      </c>
      <c r="AB532" s="24">
        <f t="shared" si="153"/>
        <v>31.790973303729391</v>
      </c>
      <c r="AC532" s="24">
        <f t="shared" si="153"/>
        <v>30.274624044748585</v>
      </c>
      <c r="AD532" s="24">
        <f t="shared" si="153"/>
        <v>27.07025485547819</v>
      </c>
      <c r="AE532" s="24">
        <f t="shared" si="153"/>
        <v>17.63671852899321</v>
      </c>
      <c r="AF532" s="2"/>
    </row>
    <row r="533" spans="1:33">
      <c r="B533" s="5" t="s">
        <v>1061</v>
      </c>
      <c r="D533" t="s">
        <v>64</v>
      </c>
      <c r="H533" t="s">
        <v>866</v>
      </c>
      <c r="J533" s="2"/>
      <c r="K533" s="2"/>
      <c r="L533" t="s">
        <v>1076</v>
      </c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3">
      <c r="A534" t="s">
        <v>879</v>
      </c>
      <c r="C534" s="11"/>
      <c r="G534" s="98">
        <f>SUM(H534:AE534)/48</f>
        <v>202.15513464902733</v>
      </c>
      <c r="H534" s="97">
        <f>H$66*(1-($F$16+$F$13)*H$490)</f>
        <v>26.61830376436707</v>
      </c>
      <c r="I534" s="97">
        <f t="shared" ref="I534:AE534" si="154">I$66*(1-($F$16+$F$13)*I$490)</f>
        <v>105.78416401816959</v>
      </c>
      <c r="J534" s="97">
        <f t="shared" si="154"/>
        <v>189.0904513240786</v>
      </c>
      <c r="K534" s="97">
        <f t="shared" si="154"/>
        <v>270.19734138446495</v>
      </c>
      <c r="L534" s="97">
        <f t="shared" si="154"/>
        <v>346.94542837729568</v>
      </c>
      <c r="M534" s="97">
        <f t="shared" si="154"/>
        <v>417.58366154011344</v>
      </c>
      <c r="N534" s="97">
        <f t="shared" si="154"/>
        <v>481.14472083990216</v>
      </c>
      <c r="O534" s="97">
        <f t="shared" si="154"/>
        <v>535.39998097022044</v>
      </c>
      <c r="P534" s="97">
        <f t="shared" si="154"/>
        <v>579.65789761613212</v>
      </c>
      <c r="Q534" s="97">
        <f t="shared" si="154"/>
        <v>613.80354004369326</v>
      </c>
      <c r="R534" s="97">
        <f t="shared" si="154"/>
        <v>636.81592050448103</v>
      </c>
      <c r="S534" s="97">
        <f t="shared" si="154"/>
        <v>648.68182119373751</v>
      </c>
      <c r="T534" s="97">
        <f t="shared" si="154"/>
        <v>648.68182119373751</v>
      </c>
      <c r="U534" s="97">
        <f t="shared" si="154"/>
        <v>636.81592050448103</v>
      </c>
      <c r="V534" s="97">
        <f t="shared" si="154"/>
        <v>613.80354004369326</v>
      </c>
      <c r="W534" s="97">
        <f t="shared" si="154"/>
        <v>579.65789761613212</v>
      </c>
      <c r="X534" s="97">
        <f t="shared" si="154"/>
        <v>535.39998097022044</v>
      </c>
      <c r="Y534" s="97">
        <f t="shared" si="154"/>
        <v>481.14472083990216</v>
      </c>
      <c r="Z534" s="97">
        <f t="shared" si="154"/>
        <v>417.58366154011344</v>
      </c>
      <c r="AA534" s="97">
        <f t="shared" si="154"/>
        <v>346.94542837729568</v>
      </c>
      <c r="AB534" s="97">
        <f t="shared" si="154"/>
        <v>270.19734138446495</v>
      </c>
      <c r="AC534" s="97">
        <f t="shared" si="154"/>
        <v>189.0904513240786</v>
      </c>
      <c r="AD534" s="97">
        <f t="shared" si="154"/>
        <v>105.78416401816959</v>
      </c>
      <c r="AE534" s="97">
        <f t="shared" si="154"/>
        <v>26.61830376436707</v>
      </c>
      <c r="AF534" s="28"/>
      <c r="AG534" s="11"/>
    </row>
    <row r="535" spans="1:33">
      <c r="B535" s="24" t="s">
        <v>1064</v>
      </c>
      <c r="D535" s="2" t="s">
        <v>1065</v>
      </c>
      <c r="E535" s="106" t="s">
        <v>970</v>
      </c>
      <c r="G535" t="s">
        <v>853</v>
      </c>
      <c r="I535" t="s">
        <v>1076</v>
      </c>
      <c r="AF535" s="28"/>
      <c r="AG535" s="11"/>
    </row>
    <row r="536" spans="1:33">
      <c r="A536" t="s">
        <v>878</v>
      </c>
      <c r="C536" s="11"/>
      <c r="D536" s="24"/>
      <c r="G536" s="97">
        <f>SUM(H536:AE536)/48</f>
        <v>122.98075479988353</v>
      </c>
      <c r="H536" s="97">
        <f>H534*($R$20*(1-H$27)+$F$15*H$27)</f>
        <v>10.647321505746829</v>
      </c>
      <c r="I536" s="97">
        <f>I534*($R$20*(1-I$27)+$F$15*I$27)</f>
        <v>42.313665607267836</v>
      </c>
      <c r="J536" s="97">
        <f t="shared" ref="J536:AE536" si="155">J534*($R$20*(1-J$27)+$F$15*J$27)</f>
        <v>75.636180529631446</v>
      </c>
      <c r="K536" s="97">
        <f t="shared" si="155"/>
        <v>108.07893655378598</v>
      </c>
      <c r="L536" s="97">
        <f t="shared" si="155"/>
        <v>138.77817135091829</v>
      </c>
      <c r="M536" s="97">
        <f t="shared" si="155"/>
        <v>167.03346461604539</v>
      </c>
      <c r="N536" s="97">
        <f t="shared" si="155"/>
        <v>192.45788833596089</v>
      </c>
      <c r="O536" s="97">
        <f t="shared" si="155"/>
        <v>214.1599923880882</v>
      </c>
      <c r="P536" s="97">
        <f t="shared" si="155"/>
        <v>405.76052833129245</v>
      </c>
      <c r="Q536" s="97">
        <f t="shared" si="155"/>
        <v>429.66247803058525</v>
      </c>
      <c r="R536" s="97">
        <f t="shared" si="155"/>
        <v>445.77114435313672</v>
      </c>
      <c r="S536" s="97">
        <f t="shared" si="155"/>
        <v>454.07727483561621</v>
      </c>
      <c r="T536" s="97">
        <f t="shared" si="155"/>
        <v>454.07727483561621</v>
      </c>
      <c r="U536" s="97">
        <f t="shared" si="155"/>
        <v>445.77114435313672</v>
      </c>
      <c r="V536" s="97">
        <f t="shared" si="155"/>
        <v>429.66247803058525</v>
      </c>
      <c r="W536" s="97">
        <f t="shared" si="155"/>
        <v>405.76052833129245</v>
      </c>
      <c r="X536" s="97">
        <f t="shared" si="155"/>
        <v>374.77998667915426</v>
      </c>
      <c r="Y536" s="97">
        <f t="shared" si="155"/>
        <v>336.8013045879315</v>
      </c>
      <c r="Z536" s="97">
        <f t="shared" si="155"/>
        <v>292.30856307807937</v>
      </c>
      <c r="AA536" s="97">
        <f t="shared" si="155"/>
        <v>242.86179986410696</v>
      </c>
      <c r="AB536" s="97">
        <f t="shared" si="155"/>
        <v>108.07893655378598</v>
      </c>
      <c r="AC536" s="97">
        <f t="shared" si="155"/>
        <v>75.636180529631446</v>
      </c>
      <c r="AD536" s="97">
        <f t="shared" si="155"/>
        <v>42.313665607267836</v>
      </c>
      <c r="AE536" s="97">
        <f t="shared" si="155"/>
        <v>10.647321505746829</v>
      </c>
      <c r="AF536" s="28"/>
      <c r="AG536" s="11"/>
    </row>
    <row r="537" spans="1:33">
      <c r="B537" s="24" t="s">
        <v>917</v>
      </c>
      <c r="D537" s="14" t="s">
        <v>1066</v>
      </c>
      <c r="G537" t="s">
        <v>888</v>
      </c>
      <c r="I537" s="24" t="s">
        <v>1090</v>
      </c>
      <c r="M537" s="2" t="s">
        <v>860</v>
      </c>
      <c r="AF537" s="28"/>
      <c r="AG537" s="11"/>
    </row>
    <row r="538" spans="1:33" ht="18">
      <c r="A538" s="20" t="s">
        <v>881</v>
      </c>
      <c r="G538" s="19">
        <f>SUM(H538:AE538)/48</f>
        <v>93.496060040165375</v>
      </c>
      <c r="H538" s="2">
        <f>H$66*H$27*$F$15*(1-H$490*$F$16)*(1-$H$491*$F$16)</f>
        <v>0</v>
      </c>
      <c r="I538" s="2">
        <f t="shared" ref="I538:AE538" si="156">I$66*I$27*$F$15*(1-I$490*$F$16)*(1-$H$491*$F$16)</f>
        <v>0</v>
      </c>
      <c r="J538" s="2">
        <f t="shared" si="156"/>
        <v>0</v>
      </c>
      <c r="K538" s="2">
        <f t="shared" si="156"/>
        <v>0</v>
      </c>
      <c r="L538" s="2">
        <f t="shared" si="156"/>
        <v>0</v>
      </c>
      <c r="M538" s="2">
        <f t="shared" si="156"/>
        <v>0</v>
      </c>
      <c r="N538" s="2">
        <f t="shared" si="156"/>
        <v>0</v>
      </c>
      <c r="O538" s="2">
        <f t="shared" si="156"/>
        <v>0</v>
      </c>
      <c r="P538" s="2">
        <f t="shared" si="156"/>
        <v>386.00866476166505</v>
      </c>
      <c r="Q538" s="2">
        <f t="shared" si="156"/>
        <v>408.72290821057027</v>
      </c>
      <c r="R538" s="2">
        <f t="shared" si="156"/>
        <v>424.02955866592833</v>
      </c>
      <c r="S538" s="2">
        <f t="shared" si="156"/>
        <v>431.92164796921782</v>
      </c>
      <c r="T538" s="2">
        <f t="shared" si="156"/>
        <v>431.92164796921782</v>
      </c>
      <c r="U538" s="2">
        <f t="shared" si="156"/>
        <v>424.02955866592833</v>
      </c>
      <c r="V538" s="2">
        <f t="shared" si="156"/>
        <v>408.72290821057027</v>
      </c>
      <c r="W538" s="2">
        <f t="shared" si="156"/>
        <v>386.00866476166505</v>
      </c>
      <c r="X538" s="2">
        <f t="shared" si="156"/>
        <v>356.56369677371271</v>
      </c>
      <c r="Y538" s="2">
        <f t="shared" si="156"/>
        <v>320.47433945827197</v>
      </c>
      <c r="Z538" s="2">
        <f t="shared" si="156"/>
        <v>278.19829064376398</v>
      </c>
      <c r="AA538" s="2">
        <f t="shared" si="156"/>
        <v>231.20899583742636</v>
      </c>
      <c r="AB538" s="2">
        <f t="shared" si="156"/>
        <v>0</v>
      </c>
      <c r="AC538" s="2">
        <f t="shared" si="156"/>
        <v>0</v>
      </c>
      <c r="AD538" s="2">
        <f t="shared" si="156"/>
        <v>0</v>
      </c>
      <c r="AE538" s="2">
        <f t="shared" si="156"/>
        <v>0</v>
      </c>
      <c r="AF538" s="2"/>
    </row>
    <row r="539" spans="1:33">
      <c r="B539" s="5" t="s">
        <v>1087</v>
      </c>
      <c r="C539" s="11"/>
      <c r="D539" t="s">
        <v>774</v>
      </c>
      <c r="E539" s="12"/>
      <c r="F539" s="18"/>
      <c r="G539" s="2" t="s">
        <v>860</v>
      </c>
      <c r="I539" s="2" t="s">
        <v>867</v>
      </c>
      <c r="K539" s="9"/>
      <c r="AF539" s="2"/>
    </row>
    <row r="540" spans="1:33">
      <c r="A540" s="11" t="s">
        <v>568</v>
      </c>
      <c r="B540" t="s">
        <v>883</v>
      </c>
      <c r="C540" s="11"/>
      <c r="E540" s="12"/>
      <c r="F540" s="18"/>
      <c r="G540" s="2" t="s">
        <v>1077</v>
      </c>
      <c r="H540" s="2"/>
      <c r="J540" t="s">
        <v>868</v>
      </c>
      <c r="AF540" s="2"/>
    </row>
    <row r="541" spans="1:33">
      <c r="A541" s="11"/>
      <c r="B541" t="s">
        <v>1078</v>
      </c>
      <c r="C541" s="11"/>
      <c r="E541" s="12"/>
      <c r="F541" s="18"/>
      <c r="G541" s="19"/>
      <c r="I541" s="12" t="s">
        <v>858</v>
      </c>
      <c r="K541" s="11"/>
      <c r="AF541" s="2"/>
    </row>
    <row r="542" spans="1:33">
      <c r="A542" s="11"/>
      <c r="B542" s="2" t="s">
        <v>1079</v>
      </c>
      <c r="C542" s="11"/>
      <c r="E542" s="12"/>
      <c r="F542" s="18"/>
      <c r="G542" s="19"/>
      <c r="H542" s="2"/>
      <c r="K542" s="11"/>
      <c r="L542" s="12"/>
      <c r="AF542" s="2"/>
    </row>
    <row r="543" spans="1:33" ht="18">
      <c r="A543" s="20" t="s">
        <v>882</v>
      </c>
      <c r="G543" s="19">
        <f>SUM(H543:AE543)/48</f>
        <v>23.662441861747926</v>
      </c>
      <c r="H543" s="2">
        <f>H$66*$R$20*H$28^2*(1-H$490*$F$16)*(1-$H$491*$F$16)</f>
        <v>10.251486957779999</v>
      </c>
      <c r="I543" s="2">
        <f t="shared" ref="I543:AE543" si="157">I$66*$R$20*I$28^2*(1-I$490*$F$16)*(1-$H$491*$F$16)</f>
        <v>40.413542096901743</v>
      </c>
      <c r="J543" s="2">
        <f t="shared" si="157"/>
        <v>72.101988960547672</v>
      </c>
      <c r="K543" s="2">
        <f t="shared" si="157"/>
        <v>102.94162954729372</v>
      </c>
      <c r="L543" s="2">
        <f t="shared" si="157"/>
        <v>132.11942619281507</v>
      </c>
      <c r="M543" s="2">
        <f t="shared" si="157"/>
        <v>158.97045179643658</v>
      </c>
      <c r="N543" s="2">
        <f t="shared" si="157"/>
        <v>183.12819397615542</v>
      </c>
      <c r="O543" s="2">
        <f t="shared" si="157"/>
        <v>203.750683870693</v>
      </c>
      <c r="P543" s="2">
        <f t="shared" si="157"/>
        <v>0.55144094965952251</v>
      </c>
      <c r="Q543" s="2">
        <f t="shared" si="157"/>
        <v>0.58388986887224437</v>
      </c>
      <c r="R543" s="2">
        <f t="shared" si="157"/>
        <v>0.6057565123798988</v>
      </c>
      <c r="S543" s="2">
        <f t="shared" si="157"/>
        <v>0.61703092567031237</v>
      </c>
      <c r="T543" s="2">
        <f t="shared" si="157"/>
        <v>0.61703092567031237</v>
      </c>
      <c r="U543" s="2">
        <f t="shared" si="157"/>
        <v>0.6057565123798988</v>
      </c>
      <c r="V543" s="2">
        <f t="shared" si="157"/>
        <v>0.58388986887224437</v>
      </c>
      <c r="W543" s="2">
        <f t="shared" si="157"/>
        <v>0.55144094965952251</v>
      </c>
      <c r="X543" s="2">
        <f t="shared" si="157"/>
        <v>0.50937670967673343</v>
      </c>
      <c r="Y543" s="2">
        <f t="shared" si="157"/>
        <v>0.45782048494038935</v>
      </c>
      <c r="Z543" s="2">
        <f t="shared" si="157"/>
        <v>0.39742612949109213</v>
      </c>
      <c r="AA543" s="2">
        <f t="shared" si="157"/>
        <v>0.33029856548203823</v>
      </c>
      <c r="AB543" s="2">
        <f t="shared" si="157"/>
        <v>102.94162954729372</v>
      </c>
      <c r="AC543" s="2">
        <f t="shared" si="157"/>
        <v>72.101988960547672</v>
      </c>
      <c r="AD543" s="2">
        <f t="shared" si="157"/>
        <v>40.413542096901743</v>
      </c>
      <c r="AE543" s="2">
        <f t="shared" si="157"/>
        <v>10.251486957779999</v>
      </c>
      <c r="AF543" s="2"/>
    </row>
    <row r="544" spans="1:33">
      <c r="A544" s="14"/>
      <c r="B544" s="5" t="s">
        <v>1088</v>
      </c>
      <c r="G544" s="2"/>
      <c r="H544" s="2"/>
      <c r="I544" s="2"/>
      <c r="J544" s="10"/>
      <c r="K544" s="9"/>
      <c r="AF544" s="2"/>
    </row>
    <row r="545" spans="1:33">
      <c r="A545" s="11" t="s">
        <v>568</v>
      </c>
      <c r="B545" t="s">
        <v>726</v>
      </c>
      <c r="C545" s="11"/>
      <c r="E545" s="12"/>
      <c r="F545" s="18"/>
      <c r="G545" s="2" t="s">
        <v>1077</v>
      </c>
      <c r="H545" s="2"/>
      <c r="J545" s="11"/>
      <c r="K545" t="s">
        <v>868</v>
      </c>
      <c r="M545" s="10"/>
      <c r="N545" s="10"/>
      <c r="AF545" s="2"/>
    </row>
    <row r="546" spans="1:33">
      <c r="A546" s="11"/>
      <c r="B546" t="s">
        <v>1078</v>
      </c>
      <c r="C546" s="11"/>
      <c r="E546" s="12"/>
      <c r="F546" s="18"/>
      <c r="G546" s="19"/>
      <c r="H546" s="2"/>
      <c r="J546" s="11"/>
      <c r="M546" s="10"/>
      <c r="N546" s="10"/>
      <c r="AF546" s="2"/>
    </row>
    <row r="547" spans="1:33">
      <c r="A547" t="s">
        <v>834</v>
      </c>
      <c r="B547" s="5"/>
      <c r="C547" s="11"/>
      <c r="D547" s="5" t="s">
        <v>23</v>
      </c>
      <c r="F547" t="s">
        <v>1091</v>
      </c>
      <c r="G547" s="97">
        <f>SUM(H547:AE547)/48</f>
        <v>6.1206252804913213</v>
      </c>
      <c r="H547" s="97">
        <f>H536*$H$491*$F$16</f>
        <v>0.52990620592332438</v>
      </c>
      <c r="I547" s="97">
        <f t="shared" ref="I547:AE547" si="158">I536*$H$491*$F$16</f>
        <v>2.1059074799754351</v>
      </c>
      <c r="J547" s="97">
        <f t="shared" si="158"/>
        <v>3.7643346670198352</v>
      </c>
      <c r="K547" s="97">
        <f t="shared" si="158"/>
        <v>5.378977161395226</v>
      </c>
      <c r="L547" s="97">
        <f t="shared" si="158"/>
        <v>6.9068464031869077</v>
      </c>
      <c r="M547" s="97">
        <f t="shared" si="158"/>
        <v>8.3130831964774057</v>
      </c>
      <c r="N547" s="97">
        <f t="shared" si="158"/>
        <v>9.578430533264001</v>
      </c>
      <c r="O547" s="97">
        <f t="shared" si="158"/>
        <v>10.658521860703384</v>
      </c>
      <c r="P547" s="97">
        <f t="shared" si="158"/>
        <v>20.194282849956739</v>
      </c>
      <c r="Q547" s="97">
        <f t="shared" si="158"/>
        <v>21.383858225555766</v>
      </c>
      <c r="R547" s="97">
        <f t="shared" si="158"/>
        <v>22.185569928246512</v>
      </c>
      <c r="S547" s="97">
        <f t="shared" si="158"/>
        <v>22.598957472475274</v>
      </c>
      <c r="T547" s="97">
        <f t="shared" si="158"/>
        <v>22.598957472475274</v>
      </c>
      <c r="U547" s="97">
        <f t="shared" si="158"/>
        <v>22.185569928246512</v>
      </c>
      <c r="V547" s="97">
        <f t="shared" si="158"/>
        <v>21.383858225555766</v>
      </c>
      <c r="W547" s="97">
        <f t="shared" si="158"/>
        <v>20.194282849956739</v>
      </c>
      <c r="X547" s="97">
        <f t="shared" si="158"/>
        <v>18.652413256230918</v>
      </c>
      <c r="Y547" s="97">
        <f t="shared" si="158"/>
        <v>16.762253433211999</v>
      </c>
      <c r="Z547" s="97">
        <f t="shared" si="158"/>
        <v>14.547895593835456</v>
      </c>
      <c r="AA547" s="97">
        <f t="shared" si="158"/>
        <v>12.086981205577088</v>
      </c>
      <c r="AB547" s="97">
        <f t="shared" si="158"/>
        <v>5.378977161395226</v>
      </c>
      <c r="AC547" s="97">
        <f t="shared" si="158"/>
        <v>3.7643346670198352</v>
      </c>
      <c r="AD547" s="97">
        <f t="shared" si="158"/>
        <v>2.1059074799754351</v>
      </c>
      <c r="AE547" s="97">
        <f t="shared" si="158"/>
        <v>0.52990620592332438</v>
      </c>
      <c r="AF547" s="28"/>
      <c r="AG547" s="11"/>
    </row>
    <row r="548" spans="1:33">
      <c r="A548" t="s">
        <v>918</v>
      </c>
      <c r="B548" s="5"/>
      <c r="C548" s="11"/>
      <c r="D548" s="104" t="s">
        <v>1092</v>
      </c>
      <c r="G548" s="97">
        <f>SUM(H548:AE548)/48</f>
        <v>3.9155931149548029</v>
      </c>
      <c r="H548" s="97">
        <f>H547*($R$20*(1-H$27)+$F$15*H$27)</f>
        <v>0.21196248236932977</v>
      </c>
      <c r="I548" s="97">
        <f t="shared" ref="I548:AE548" si="159">I547*($R$20*(1-I$27)+$F$15*I$27)</f>
        <v>0.84236299199017406</v>
      </c>
      <c r="J548" s="97">
        <f t="shared" si="159"/>
        <v>1.5057338668079341</v>
      </c>
      <c r="K548" s="97">
        <f t="shared" si="159"/>
        <v>2.1515908645580906</v>
      </c>
      <c r="L548" s="97">
        <f t="shared" si="159"/>
        <v>2.7627385612747632</v>
      </c>
      <c r="M548" s="97">
        <f t="shared" si="159"/>
        <v>3.3252332785909626</v>
      </c>
      <c r="N548" s="97">
        <f t="shared" si="159"/>
        <v>3.8313722133056007</v>
      </c>
      <c r="O548" s="97">
        <f t="shared" si="159"/>
        <v>4.263408744281354</v>
      </c>
      <c r="P548" s="97">
        <f t="shared" si="159"/>
        <v>14.135997994969717</v>
      </c>
      <c r="Q548" s="97">
        <f t="shared" si="159"/>
        <v>14.968700757889035</v>
      </c>
      <c r="R548" s="97">
        <f t="shared" si="159"/>
        <v>15.529898949772557</v>
      </c>
      <c r="S548" s="97">
        <f t="shared" si="159"/>
        <v>15.819270230732691</v>
      </c>
      <c r="T548" s="97">
        <f t="shared" si="159"/>
        <v>15.819270230732691</v>
      </c>
      <c r="U548" s="97">
        <f t="shared" si="159"/>
        <v>15.529898949772557</v>
      </c>
      <c r="V548" s="97">
        <f t="shared" si="159"/>
        <v>14.968700757889035</v>
      </c>
      <c r="W548" s="97">
        <f t="shared" si="159"/>
        <v>14.135997994969717</v>
      </c>
      <c r="X548" s="97">
        <f t="shared" si="159"/>
        <v>13.056689279361642</v>
      </c>
      <c r="Y548" s="97">
        <f t="shared" si="159"/>
        <v>11.733577403248399</v>
      </c>
      <c r="Z548" s="97">
        <f t="shared" si="159"/>
        <v>10.183526915684819</v>
      </c>
      <c r="AA548" s="97">
        <f t="shared" si="159"/>
        <v>8.4608868439039604</v>
      </c>
      <c r="AB548" s="97">
        <f t="shared" si="159"/>
        <v>2.1515908645580906</v>
      </c>
      <c r="AC548" s="97">
        <f t="shared" si="159"/>
        <v>1.5057338668079341</v>
      </c>
      <c r="AD548" s="97">
        <f t="shared" si="159"/>
        <v>0.84236299199017406</v>
      </c>
      <c r="AE548" s="97">
        <f t="shared" si="159"/>
        <v>0.21196248236932977</v>
      </c>
      <c r="AF548" s="28"/>
      <c r="AG548" s="11"/>
    </row>
    <row r="549" spans="1:33">
      <c r="A549" s="20" t="s">
        <v>835</v>
      </c>
      <c r="B549" s="5"/>
      <c r="C549" s="11"/>
      <c r="G549" s="19">
        <f>SUM(H549:AE549)/48</f>
        <v>3.7168205849647418</v>
      </c>
      <c r="H549" s="24">
        <f>H548*(1-($F$16+$F$13)*$H$491)</f>
        <v>0.20120234523388281</v>
      </c>
      <c r="I549" s="24">
        <f t="shared" ref="I549:AE549" si="160">I548*(1-($F$16+$F$13)*$H$491)</f>
        <v>0.79960098425030235</v>
      </c>
      <c r="J549" s="24">
        <f t="shared" si="160"/>
        <v>1.4292962693839262</v>
      </c>
      <c r="K549" s="24">
        <f t="shared" si="160"/>
        <v>2.042366757993419</v>
      </c>
      <c r="L549" s="24">
        <f t="shared" si="160"/>
        <v>2.6224899405924202</v>
      </c>
      <c r="M549" s="24">
        <f t="shared" si="160"/>
        <v>3.1564299805495355</v>
      </c>
      <c r="N549" s="24">
        <f t="shared" si="160"/>
        <v>3.6368751024429544</v>
      </c>
      <c r="O549" s="24">
        <f t="shared" si="160"/>
        <v>4.046979580779686</v>
      </c>
      <c r="P549" s="24">
        <f t="shared" si="160"/>
        <v>13.418393278927352</v>
      </c>
      <c r="Q549" s="24">
        <f t="shared" si="160"/>
        <v>14.208824429333353</v>
      </c>
      <c r="R549" s="24">
        <f t="shared" si="160"/>
        <v>14.74153376112554</v>
      </c>
      <c r="S549" s="24">
        <f t="shared" si="160"/>
        <v>15.016215297790428</v>
      </c>
      <c r="T549" s="24">
        <f t="shared" si="160"/>
        <v>15.016215297790428</v>
      </c>
      <c r="U549" s="24">
        <f t="shared" si="160"/>
        <v>14.74153376112554</v>
      </c>
      <c r="V549" s="24">
        <f t="shared" si="160"/>
        <v>14.208824429333353</v>
      </c>
      <c r="W549" s="24">
        <f t="shared" si="160"/>
        <v>13.418393278927352</v>
      </c>
      <c r="X549" s="24">
        <f t="shared" si="160"/>
        <v>12.393874966137783</v>
      </c>
      <c r="Y549" s="24">
        <f t="shared" si="160"/>
        <v>11.137930001231544</v>
      </c>
      <c r="Z549" s="24">
        <f t="shared" si="160"/>
        <v>9.6665668154329492</v>
      </c>
      <c r="AA549" s="24">
        <f t="shared" si="160"/>
        <v>8.0313754430642863</v>
      </c>
      <c r="AB549" s="24">
        <f t="shared" si="160"/>
        <v>2.042366757993419</v>
      </c>
      <c r="AC549" s="24">
        <f t="shared" si="160"/>
        <v>1.4292962693839262</v>
      </c>
      <c r="AD549" s="24">
        <f t="shared" si="160"/>
        <v>0.79960098425030235</v>
      </c>
      <c r="AE549" s="24">
        <f t="shared" si="160"/>
        <v>0.20120234523388281</v>
      </c>
      <c r="AF549" s="28"/>
      <c r="AG549" s="11"/>
    </row>
    <row r="550" spans="1:33">
      <c r="A550" s="20"/>
      <c r="B550" s="24" t="s">
        <v>1096</v>
      </c>
      <c r="C550" s="11"/>
      <c r="G550" s="19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8"/>
      <c r="AG550" s="11"/>
    </row>
    <row r="551" spans="1:33">
      <c r="A551" s="100" t="s">
        <v>836</v>
      </c>
      <c r="B551" s="5"/>
      <c r="C551" s="11"/>
      <c r="G551" s="19">
        <f>SUM(H551:AE551)/48</f>
        <v>0.12207322591008742</v>
      </c>
      <c r="H551" s="2">
        <f>H549^2/(H538+H543)</f>
        <v>3.948927984236658E-3</v>
      </c>
      <c r="I551" s="2">
        <f t="shared" ref="I551:AE551" si="161">I549^2/(I538+I543)</f>
        <v>1.5820482463057062E-2</v>
      </c>
      <c r="J551" s="2">
        <f t="shared" si="161"/>
        <v>2.8333307515173038E-2</v>
      </c>
      <c r="K551" s="2">
        <f t="shared" si="161"/>
        <v>4.0520652261874068E-2</v>
      </c>
      <c r="L551" s="2">
        <f t="shared" si="161"/>
        <v>5.2054824083715596E-2</v>
      </c>
      <c r="M551" s="2">
        <f t="shared" si="161"/>
        <v>6.2672340108020433E-2</v>
      </c>
      <c r="N551" s="2">
        <f t="shared" si="161"/>
        <v>7.2227330066345116E-2</v>
      </c>
      <c r="O551" s="2">
        <f t="shared" si="161"/>
        <v>8.0382766899775304E-2</v>
      </c>
      <c r="P551" s="2">
        <f t="shared" si="161"/>
        <v>0.46578339442617744</v>
      </c>
      <c r="Q551" s="2">
        <f t="shared" si="161"/>
        <v>0.49325027732482285</v>
      </c>
      <c r="R551" s="2">
        <f t="shared" si="161"/>
        <v>0.51176341171518547</v>
      </c>
      <c r="S551" s="2">
        <f t="shared" si="161"/>
        <v>0.52130996110151606</v>
      </c>
      <c r="T551" s="2">
        <f t="shared" si="161"/>
        <v>0.52130996110151606</v>
      </c>
      <c r="U551" s="2">
        <f t="shared" si="161"/>
        <v>0.51176341171518547</v>
      </c>
      <c r="V551" s="2">
        <f t="shared" si="161"/>
        <v>0.49325027732482285</v>
      </c>
      <c r="W551" s="2">
        <f t="shared" si="161"/>
        <v>0.46578339442617744</v>
      </c>
      <c r="X551" s="2">
        <f t="shared" si="161"/>
        <v>0.43018683872673047</v>
      </c>
      <c r="Y551" s="2">
        <f t="shared" si="161"/>
        <v>0.38654114543797813</v>
      </c>
      <c r="Z551" s="2">
        <f t="shared" si="161"/>
        <v>0.33540542216333136</v>
      </c>
      <c r="AA551" s="2">
        <f t="shared" si="161"/>
        <v>0.27858334661421441</v>
      </c>
      <c r="AB551" s="2">
        <f t="shared" si="161"/>
        <v>4.0520652261874068E-2</v>
      </c>
      <c r="AC551" s="2">
        <f t="shared" si="161"/>
        <v>2.8333307515173038E-2</v>
      </c>
      <c r="AD551" s="2">
        <f t="shared" si="161"/>
        <v>1.5820482463057062E-2</v>
      </c>
      <c r="AE551" s="2">
        <f t="shared" si="161"/>
        <v>3.948927984236658E-3</v>
      </c>
      <c r="AF551" s="28"/>
      <c r="AG551" s="11"/>
    </row>
    <row r="552" spans="1:33" ht="18">
      <c r="A552" s="100"/>
      <c r="B552" s="24" t="s">
        <v>1097</v>
      </c>
      <c r="C552" s="11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8"/>
      <c r="AG552" s="11"/>
    </row>
    <row r="553" spans="1:33" ht="18">
      <c r="A553" s="20" t="s">
        <v>890</v>
      </c>
      <c r="G553" s="19">
        <f>(SUM(H553:AE553)+24*$R$24*(1-$H$491))/48</f>
        <v>229.92210317101922</v>
      </c>
      <c r="H553" s="2">
        <f>$R$24*(1-H$27)*(1-$H$491)</f>
        <v>306.56280422802564</v>
      </c>
      <c r="I553" s="2">
        <f t="shared" ref="I553:AE553" si="162">$R$24*(1-I$27)*(1-$H$491)</f>
        <v>306.56280422802564</v>
      </c>
      <c r="J553" s="2">
        <f t="shared" si="162"/>
        <v>306.56280422802564</v>
      </c>
      <c r="K553" s="2">
        <f t="shared" si="162"/>
        <v>306.56280422802564</v>
      </c>
      <c r="L553" s="2">
        <f t="shared" si="162"/>
        <v>306.56280422802564</v>
      </c>
      <c r="M553" s="2">
        <f t="shared" si="162"/>
        <v>306.56280422802564</v>
      </c>
      <c r="N553" s="2">
        <f t="shared" si="162"/>
        <v>306.56280422802564</v>
      </c>
      <c r="O553" s="2">
        <f t="shared" si="162"/>
        <v>306.56280422802564</v>
      </c>
      <c r="P553" s="2">
        <f t="shared" si="162"/>
        <v>0</v>
      </c>
      <c r="Q553" s="2">
        <f t="shared" si="162"/>
        <v>0</v>
      </c>
      <c r="R553" s="2">
        <f t="shared" si="162"/>
        <v>0</v>
      </c>
      <c r="S553" s="2">
        <f t="shared" si="162"/>
        <v>0</v>
      </c>
      <c r="T553" s="2">
        <f t="shared" si="162"/>
        <v>0</v>
      </c>
      <c r="U553" s="2">
        <f t="shared" si="162"/>
        <v>0</v>
      </c>
      <c r="V553" s="2">
        <f t="shared" si="162"/>
        <v>0</v>
      </c>
      <c r="W553" s="2">
        <f t="shared" si="162"/>
        <v>0</v>
      </c>
      <c r="X553" s="2">
        <f t="shared" si="162"/>
        <v>0</v>
      </c>
      <c r="Y553" s="2">
        <f t="shared" si="162"/>
        <v>0</v>
      </c>
      <c r="Z553" s="2">
        <f t="shared" si="162"/>
        <v>0</v>
      </c>
      <c r="AA553" s="2">
        <f t="shared" si="162"/>
        <v>0</v>
      </c>
      <c r="AB553" s="2">
        <f t="shared" si="162"/>
        <v>306.56280422802564</v>
      </c>
      <c r="AC553" s="2">
        <f t="shared" si="162"/>
        <v>306.56280422802564</v>
      </c>
      <c r="AD553" s="2">
        <f t="shared" si="162"/>
        <v>306.56280422802564</v>
      </c>
      <c r="AE553" s="2">
        <f t="shared" si="162"/>
        <v>306.56280422802564</v>
      </c>
      <c r="AF553" s="2"/>
    </row>
    <row r="554" spans="1:33">
      <c r="A554" s="14"/>
      <c r="B554" s="5" t="s">
        <v>1086</v>
      </c>
      <c r="D554" t="s">
        <v>28</v>
      </c>
      <c r="E554" s="12"/>
      <c r="F554" s="6"/>
      <c r="G554" s="2" t="s">
        <v>860</v>
      </c>
      <c r="I554" s="2" t="s">
        <v>1071</v>
      </c>
      <c r="J554" s="10"/>
      <c r="K554" s="9"/>
      <c r="AF554" s="2"/>
    </row>
    <row r="555" spans="1:33" ht="18">
      <c r="A555" s="20" t="s">
        <v>891</v>
      </c>
      <c r="D555" s="105" t="s">
        <v>892</v>
      </c>
      <c r="E555">
        <f>$F$7</f>
        <v>-5</v>
      </c>
      <c r="F555" s="5" t="s">
        <v>893</v>
      </c>
      <c r="G555" s="19">
        <f>SUM(H555:AE555)/48</f>
        <v>66.194127351477249</v>
      </c>
      <c r="H555" s="2">
        <f>$M$9*($F$7+273)^4*H$27*(1-$H$491)</f>
        <v>0</v>
      </c>
      <c r="I555" s="2">
        <f t="shared" ref="I555:AE555" si="163">$M$9*($F$7+273)^4*I$27*(1-$H$491)</f>
        <v>0</v>
      </c>
      <c r="J555" s="2">
        <f t="shared" si="163"/>
        <v>0</v>
      </c>
      <c r="K555" s="2">
        <f t="shared" si="163"/>
        <v>0</v>
      </c>
      <c r="L555" s="2">
        <f t="shared" si="163"/>
        <v>0</v>
      </c>
      <c r="M555" s="2">
        <f t="shared" si="163"/>
        <v>0</v>
      </c>
      <c r="N555" s="2">
        <f t="shared" si="163"/>
        <v>0</v>
      </c>
      <c r="O555" s="2">
        <f t="shared" si="163"/>
        <v>0</v>
      </c>
      <c r="P555" s="2">
        <f t="shared" si="163"/>
        <v>264.77650940590894</v>
      </c>
      <c r="Q555" s="2">
        <f t="shared" si="163"/>
        <v>264.77650940590894</v>
      </c>
      <c r="R555" s="2">
        <f t="shared" si="163"/>
        <v>264.77650940590894</v>
      </c>
      <c r="S555" s="2">
        <f t="shared" si="163"/>
        <v>264.77650940590894</v>
      </c>
      <c r="T555" s="2">
        <f t="shared" si="163"/>
        <v>264.77650940590894</v>
      </c>
      <c r="U555" s="2">
        <f t="shared" si="163"/>
        <v>264.77650940590894</v>
      </c>
      <c r="V555" s="2">
        <f t="shared" si="163"/>
        <v>264.77650940590894</v>
      </c>
      <c r="W555" s="2">
        <f t="shared" si="163"/>
        <v>264.77650940590894</v>
      </c>
      <c r="X555" s="2">
        <f t="shared" si="163"/>
        <v>264.77650940590894</v>
      </c>
      <c r="Y555" s="2">
        <f t="shared" si="163"/>
        <v>264.77650940590894</v>
      </c>
      <c r="Z555" s="2">
        <f t="shared" si="163"/>
        <v>264.77650940590894</v>
      </c>
      <c r="AA555" s="2">
        <f t="shared" si="163"/>
        <v>264.77650940590894</v>
      </c>
      <c r="AB555" s="2">
        <f t="shared" si="163"/>
        <v>0</v>
      </c>
      <c r="AC555" s="2">
        <f t="shared" si="163"/>
        <v>0</v>
      </c>
      <c r="AD555" s="2">
        <f t="shared" si="163"/>
        <v>0</v>
      </c>
      <c r="AE555" s="2">
        <f t="shared" si="163"/>
        <v>0</v>
      </c>
      <c r="AF555" s="2"/>
    </row>
    <row r="556" spans="1:33">
      <c r="A556" s="14"/>
      <c r="B556" t="s">
        <v>1072</v>
      </c>
      <c r="D556" t="s">
        <v>744</v>
      </c>
      <c r="E556" s="30"/>
      <c r="F556" t="s">
        <v>618</v>
      </c>
      <c r="H556" s="2" t="s">
        <v>860</v>
      </c>
      <c r="I556" s="2"/>
      <c r="J556" s="2" t="s">
        <v>1073</v>
      </c>
      <c r="K556" s="9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3">
      <c r="A557" s="20" t="s">
        <v>914</v>
      </c>
      <c r="B557" s="11"/>
      <c r="C557" s="11"/>
      <c r="D557" s="11"/>
      <c r="E557" s="27"/>
      <c r="F557" s="6"/>
      <c r="G557" s="19">
        <f>SUM(H557:AE557)/24</f>
        <v>12.551783676120003</v>
      </c>
      <c r="H557" s="24">
        <f t="shared" ref="H557:AE557" si="164">$M$9*($F$9+273)^4*$F$11*$H$18</f>
        <v>12.551783676119999</v>
      </c>
      <c r="I557" s="24">
        <f t="shared" si="164"/>
        <v>12.551783676119999</v>
      </c>
      <c r="J557" s="24">
        <f t="shared" si="164"/>
        <v>12.551783676119999</v>
      </c>
      <c r="K557" s="24">
        <f t="shared" si="164"/>
        <v>12.551783676119999</v>
      </c>
      <c r="L557" s="24">
        <f t="shared" si="164"/>
        <v>12.551783676119999</v>
      </c>
      <c r="M557" s="24">
        <f t="shared" si="164"/>
        <v>12.551783676119999</v>
      </c>
      <c r="N557" s="24">
        <f t="shared" si="164"/>
        <v>12.551783676119999</v>
      </c>
      <c r="O557" s="24">
        <f t="shared" si="164"/>
        <v>12.551783676119999</v>
      </c>
      <c r="P557" s="24">
        <f t="shared" si="164"/>
        <v>12.551783676119999</v>
      </c>
      <c r="Q557" s="24">
        <f t="shared" si="164"/>
        <v>12.551783676119999</v>
      </c>
      <c r="R557" s="24">
        <f t="shared" si="164"/>
        <v>12.551783676119999</v>
      </c>
      <c r="S557" s="24">
        <f t="shared" si="164"/>
        <v>12.551783676119999</v>
      </c>
      <c r="T557" s="24">
        <f t="shared" si="164"/>
        <v>12.551783676119999</v>
      </c>
      <c r="U557" s="24">
        <f t="shared" si="164"/>
        <v>12.551783676119999</v>
      </c>
      <c r="V557" s="24">
        <f t="shared" si="164"/>
        <v>12.551783676119999</v>
      </c>
      <c r="W557" s="24">
        <f t="shared" si="164"/>
        <v>12.551783676119999</v>
      </c>
      <c r="X557" s="24">
        <f t="shared" si="164"/>
        <v>12.551783676119999</v>
      </c>
      <c r="Y557" s="24">
        <f t="shared" si="164"/>
        <v>12.551783676119999</v>
      </c>
      <c r="Z557" s="24">
        <f t="shared" si="164"/>
        <v>12.551783676119999</v>
      </c>
      <c r="AA557" s="24">
        <f t="shared" si="164"/>
        <v>12.551783676119999</v>
      </c>
      <c r="AB557" s="24">
        <f t="shared" si="164"/>
        <v>12.551783676119999</v>
      </c>
      <c r="AC557" s="24">
        <f t="shared" si="164"/>
        <v>12.551783676119999</v>
      </c>
      <c r="AD557" s="24">
        <f t="shared" si="164"/>
        <v>12.551783676119999</v>
      </c>
      <c r="AE557" s="24">
        <f t="shared" si="164"/>
        <v>12.551783676119999</v>
      </c>
      <c r="AF557" s="28"/>
      <c r="AG557" s="11"/>
    </row>
    <row r="558" spans="1:33">
      <c r="A558" s="20"/>
      <c r="B558" s="5" t="s">
        <v>272</v>
      </c>
      <c r="C558" s="11"/>
      <c r="D558" t="s">
        <v>743</v>
      </c>
      <c r="E558" s="27"/>
      <c r="F558" s="6"/>
      <c r="G558" s="28"/>
      <c r="H558" t="s">
        <v>717</v>
      </c>
      <c r="I558" s="29"/>
      <c r="J558" s="11"/>
      <c r="K558" s="2" t="s">
        <v>273</v>
      </c>
      <c r="L558" s="11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11"/>
    </row>
    <row r="559" spans="1:33">
      <c r="A559" s="20"/>
      <c r="B559" s="27" t="s">
        <v>925</v>
      </c>
      <c r="C559" s="11" t="s">
        <v>266</v>
      </c>
      <c r="E559" s="27"/>
      <c r="F559" s="6"/>
      <c r="G559" s="28"/>
      <c r="I559" s="29"/>
      <c r="J559" s="11"/>
      <c r="K559" s="2"/>
      <c r="L559" s="11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11"/>
    </row>
    <row r="560" spans="1:33">
      <c r="A560" s="20"/>
      <c r="B560" s="14"/>
      <c r="C560" t="s">
        <v>274</v>
      </c>
      <c r="E560" s="27"/>
      <c r="F560" s="6"/>
      <c r="G560" s="28"/>
      <c r="I560" s="29"/>
      <c r="J560" s="11"/>
      <c r="K560" s="2"/>
      <c r="L560" s="11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11"/>
    </row>
    <row r="561" spans="1:33">
      <c r="A561" s="3"/>
      <c r="B561" s="16" t="s">
        <v>333</v>
      </c>
      <c r="E561" s="12"/>
      <c r="F561" s="6"/>
      <c r="G561" s="32">
        <f>G532+G538+G543+G549+G551+G553+G555+G557</f>
        <v>445.13049313054643</v>
      </c>
      <c r="H561" s="2"/>
      <c r="I561" s="29"/>
      <c r="K561" s="10"/>
      <c r="L561" s="3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3">
      <c r="A562" s="20"/>
      <c r="B562" s="16" t="s">
        <v>725</v>
      </c>
      <c r="E562" s="30"/>
      <c r="F562" s="6"/>
      <c r="G562" s="32">
        <f>G529-G561</f>
        <v>15.693670966098637</v>
      </c>
      <c r="H562" s="33"/>
      <c r="I562" s="8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3">
      <c r="A563" s="39" t="s">
        <v>509</v>
      </c>
      <c r="B563" s="16"/>
      <c r="E563" s="30"/>
      <c r="G563" s="32"/>
      <c r="H563" s="33"/>
      <c r="I563" s="3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3">
      <c r="A564" s="3" t="s">
        <v>977</v>
      </c>
      <c r="E564" s="12"/>
      <c r="F564" s="6"/>
      <c r="G564" s="87" t="s">
        <v>535</v>
      </c>
      <c r="H564" s="21"/>
      <c r="I564" s="2"/>
      <c r="J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3">
      <c r="A565" s="20" t="s">
        <v>935</v>
      </c>
      <c r="B565" s="11"/>
      <c r="C565" s="11"/>
      <c r="E565" s="14" t="s">
        <v>563</v>
      </c>
      <c r="F565" s="31">
        <f>$F$15</f>
        <v>0.7</v>
      </c>
      <c r="G565" s="19">
        <f>SUM(H565:AE565)/48</f>
        <v>152.55066367278636</v>
      </c>
      <c r="H565" s="2">
        <f>H$66*$F$15</f>
        <v>31.225429664758099</v>
      </c>
      <c r="I565" s="2">
        <f t="shared" ref="I565:AE565" si="165">I$66*$F$15</f>
        <v>93.377076779530128</v>
      </c>
      <c r="J565" s="2">
        <f t="shared" si="165"/>
        <v>153.97939749480551</v>
      </c>
      <c r="K565" s="2">
        <f t="shared" si="165"/>
        <v>211.83689390798824</v>
      </c>
      <c r="L565" s="2">
        <f t="shared" si="165"/>
        <v>266.16459190494942</v>
      </c>
      <c r="M565" s="2">
        <f t="shared" si="165"/>
        <v>315.79630489000851</v>
      </c>
      <c r="N565" s="2">
        <f t="shared" si="165"/>
        <v>360.16373197592884</v>
      </c>
      <c r="O565" s="2">
        <f t="shared" si="165"/>
        <v>398.18723201947819</v>
      </c>
      <c r="P565" s="2">
        <f t="shared" si="165"/>
        <v>429.50568350176121</v>
      </c>
      <c r="Q565" s="2">
        <f t="shared" si="165"/>
        <v>453.50795131590763</v>
      </c>
      <c r="R565" s="2">
        <f t="shared" si="165"/>
        <v>469.60029277733173</v>
      </c>
      <c r="S565" s="2">
        <f t="shared" si="165"/>
        <v>477.87134191442487</v>
      </c>
      <c r="T565" s="2">
        <f t="shared" si="165"/>
        <v>477.87134191442487</v>
      </c>
      <c r="U565" s="2">
        <f t="shared" si="165"/>
        <v>469.60029277733173</v>
      </c>
      <c r="V565" s="2">
        <f t="shared" si="165"/>
        <v>453.50795131590763</v>
      </c>
      <c r="W565" s="2">
        <f t="shared" si="165"/>
        <v>429.50568350176121</v>
      </c>
      <c r="X565" s="2">
        <f t="shared" si="165"/>
        <v>398.18723201947819</v>
      </c>
      <c r="Y565" s="2">
        <f t="shared" si="165"/>
        <v>360.16373197592884</v>
      </c>
      <c r="Z565" s="2">
        <f t="shared" si="165"/>
        <v>315.79630489000851</v>
      </c>
      <c r="AA565" s="2">
        <f t="shared" si="165"/>
        <v>266.16459190494942</v>
      </c>
      <c r="AB565" s="2">
        <f t="shared" si="165"/>
        <v>211.83689390798824</v>
      </c>
      <c r="AC565" s="2">
        <f t="shared" si="165"/>
        <v>153.97939749480551</v>
      </c>
      <c r="AD565" s="2">
        <f t="shared" si="165"/>
        <v>93.377076779530128</v>
      </c>
      <c r="AE565" s="2">
        <f t="shared" si="165"/>
        <v>31.225429664758099</v>
      </c>
      <c r="AF565" s="28"/>
      <c r="AG565" s="11"/>
    </row>
    <row r="566" spans="1:33">
      <c r="A566" s="3"/>
      <c r="B566" s="5" t="s">
        <v>1089</v>
      </c>
      <c r="C566" s="11"/>
      <c r="D566" t="s">
        <v>19</v>
      </c>
      <c r="F566" s="27"/>
      <c r="G566" s="2"/>
      <c r="H566" s="2" t="s">
        <v>1019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8"/>
      <c r="AG566" s="11"/>
    </row>
    <row r="567" spans="1:33">
      <c r="A567" s="20" t="s">
        <v>936</v>
      </c>
      <c r="B567" s="11"/>
      <c r="C567" s="11"/>
      <c r="D567" s="24" t="s">
        <v>1013</v>
      </c>
      <c r="E567" s="27"/>
      <c r="F567" s="6" t="s">
        <v>1049</v>
      </c>
      <c r="G567" s="19">
        <f>SUM(H567:AE567)/24</f>
        <v>294.0451576320001</v>
      </c>
      <c r="H567" s="2">
        <f>$M$9*($F$7+273)^4</f>
        <v>294.04515763199998</v>
      </c>
      <c r="I567" s="2">
        <f t="shared" ref="I567:AE567" si="166">$M$9*($F$7+273)^4</f>
        <v>294.04515763199998</v>
      </c>
      <c r="J567" s="2">
        <f t="shared" si="166"/>
        <v>294.04515763199998</v>
      </c>
      <c r="K567" s="2">
        <f t="shared" si="166"/>
        <v>294.04515763199998</v>
      </c>
      <c r="L567" s="2">
        <f t="shared" si="166"/>
        <v>294.04515763199998</v>
      </c>
      <c r="M567" s="2">
        <f t="shared" si="166"/>
        <v>294.04515763199998</v>
      </c>
      <c r="N567" s="2">
        <f t="shared" si="166"/>
        <v>294.04515763199998</v>
      </c>
      <c r="O567" s="2">
        <f t="shared" si="166"/>
        <v>294.04515763199998</v>
      </c>
      <c r="P567" s="2">
        <f t="shared" si="166"/>
        <v>294.04515763199998</v>
      </c>
      <c r="Q567" s="2">
        <f t="shared" si="166"/>
        <v>294.04515763199998</v>
      </c>
      <c r="R567" s="2">
        <f t="shared" si="166"/>
        <v>294.04515763199998</v>
      </c>
      <c r="S567" s="2">
        <f t="shared" si="166"/>
        <v>294.04515763199998</v>
      </c>
      <c r="T567" s="2">
        <f t="shared" si="166"/>
        <v>294.04515763199998</v>
      </c>
      <c r="U567" s="2">
        <f t="shared" si="166"/>
        <v>294.04515763199998</v>
      </c>
      <c r="V567" s="2">
        <f t="shared" si="166"/>
        <v>294.04515763199998</v>
      </c>
      <c r="W567" s="2">
        <f t="shared" si="166"/>
        <v>294.04515763199998</v>
      </c>
      <c r="X567" s="2">
        <f t="shared" si="166"/>
        <v>294.04515763199998</v>
      </c>
      <c r="Y567" s="2">
        <f t="shared" si="166"/>
        <v>294.04515763199998</v>
      </c>
      <c r="Z567" s="2">
        <f t="shared" si="166"/>
        <v>294.04515763199998</v>
      </c>
      <c r="AA567" s="2">
        <f t="shared" si="166"/>
        <v>294.04515763199998</v>
      </c>
      <c r="AB567" s="2">
        <f t="shared" si="166"/>
        <v>294.04515763199998</v>
      </c>
      <c r="AC567" s="2">
        <f t="shared" si="166"/>
        <v>294.04515763199998</v>
      </c>
      <c r="AD567" s="2">
        <f t="shared" si="166"/>
        <v>294.04515763199998</v>
      </c>
      <c r="AE567" s="2">
        <f t="shared" si="166"/>
        <v>294.04515763199998</v>
      </c>
      <c r="AF567" s="28"/>
      <c r="AG567" s="11"/>
    </row>
    <row r="568" spans="1:33">
      <c r="A568" s="20"/>
      <c r="B568" s="16" t="s">
        <v>729</v>
      </c>
      <c r="C568" s="11"/>
      <c r="D568" s="11"/>
      <c r="E568" s="21"/>
      <c r="F568" s="21"/>
      <c r="G568" s="82">
        <f>G565+G567</f>
        <v>446.59582130478645</v>
      </c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8"/>
      <c r="AG568" s="11"/>
    </row>
    <row r="569" spans="1:33">
      <c r="A569" s="39" t="s">
        <v>509</v>
      </c>
      <c r="B569" s="16"/>
      <c r="C569" s="11"/>
      <c r="D569" s="11"/>
      <c r="E569" s="21"/>
      <c r="F569" s="21"/>
      <c r="G569" s="82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8"/>
      <c r="AG569" s="11"/>
    </row>
    <row r="570" spans="1:33">
      <c r="A570" s="3" t="s">
        <v>325</v>
      </c>
      <c r="B570" s="16"/>
      <c r="C570" s="11"/>
      <c r="D570" s="11"/>
      <c r="E570" s="21"/>
      <c r="F570" s="21"/>
      <c r="G570" s="82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8"/>
      <c r="AG570" s="11"/>
    </row>
    <row r="571" spans="1:33">
      <c r="A571" s="3" t="s">
        <v>877</v>
      </c>
      <c r="G571" s="19">
        <f>SUM(H571:AE571)/48</f>
        <v>15.465083219141777</v>
      </c>
      <c r="H571" s="24">
        <f>H$66*H$490*$F$16</f>
        <v>17.63671852899321</v>
      </c>
      <c r="I571" s="24">
        <f t="shared" ref="I571:AE571" si="167">I$66*I$490*$F$16</f>
        <v>27.07025485547819</v>
      </c>
      <c r="J571" s="24">
        <f t="shared" si="167"/>
        <v>30.274624044748585</v>
      </c>
      <c r="K571" s="24">
        <f t="shared" si="167"/>
        <v>31.790973303729391</v>
      </c>
      <c r="L571" s="24">
        <f t="shared" si="167"/>
        <v>32.636963642636495</v>
      </c>
      <c r="M571" s="24">
        <f t="shared" si="167"/>
        <v>32.895996935474933</v>
      </c>
      <c r="N571" s="24">
        <f t="shared" si="167"/>
        <v>32.720486537811425</v>
      </c>
      <c r="O571" s="24">
        <f t="shared" si="167"/>
        <v>32.783256779165157</v>
      </c>
      <c r="P571" s="24">
        <f t="shared" si="167"/>
        <v>33.256519846594884</v>
      </c>
      <c r="Q571" s="24">
        <f t="shared" si="167"/>
        <v>33.397021408014446</v>
      </c>
      <c r="R571" s="24">
        <f t="shared" si="167"/>
        <v>33.374157456855777</v>
      </c>
      <c r="S571" s="24">
        <f t="shared" si="167"/>
        <v>33.325023919900133</v>
      </c>
      <c r="T571" s="24">
        <f t="shared" si="167"/>
        <v>33.325023919900133</v>
      </c>
      <c r="U571" s="24">
        <f t="shared" si="167"/>
        <v>33.374157456855777</v>
      </c>
      <c r="V571" s="24">
        <f t="shared" si="167"/>
        <v>33.397021408014446</v>
      </c>
      <c r="W571" s="24">
        <f t="shared" si="167"/>
        <v>33.256519846594884</v>
      </c>
      <c r="X571" s="24">
        <f t="shared" si="167"/>
        <v>32.783256779165157</v>
      </c>
      <c r="Y571" s="24">
        <f t="shared" si="167"/>
        <v>32.720486537811425</v>
      </c>
      <c r="Z571" s="24">
        <f t="shared" si="167"/>
        <v>32.895996935474933</v>
      </c>
      <c r="AA571" s="24">
        <f t="shared" si="167"/>
        <v>32.636963642636495</v>
      </c>
      <c r="AB571" s="24">
        <f t="shared" si="167"/>
        <v>31.790973303729391</v>
      </c>
      <c r="AC571" s="24">
        <f t="shared" si="167"/>
        <v>30.274624044748585</v>
      </c>
      <c r="AD571" s="24">
        <f t="shared" si="167"/>
        <v>27.07025485547819</v>
      </c>
      <c r="AE571" s="24">
        <f t="shared" si="167"/>
        <v>17.63671852899321</v>
      </c>
      <c r="AF571" s="28"/>
      <c r="AG571" s="11"/>
    </row>
    <row r="572" spans="1:33">
      <c r="B572" s="5" t="s">
        <v>1061</v>
      </c>
      <c r="D572" t="s">
        <v>774</v>
      </c>
      <c r="G572" t="s">
        <v>894</v>
      </c>
      <c r="J572" s="2"/>
      <c r="K572" s="2" t="s">
        <v>1080</v>
      </c>
      <c r="L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3">
      <c r="A573" t="s">
        <v>879</v>
      </c>
      <c r="C573" s="11"/>
      <c r="G573" s="98">
        <f>SUM(H573:AE573)/48</f>
        <v>202.15513464902733</v>
      </c>
      <c r="H573" s="97">
        <f>H$66*(1-($F$16+$F$13)*H$490)</f>
        <v>26.61830376436707</v>
      </c>
      <c r="I573" s="97">
        <f t="shared" ref="I573:AE573" si="168">I$66*(1-($F$16+$F$13)*I$490)</f>
        <v>105.78416401816959</v>
      </c>
      <c r="J573" s="97">
        <f t="shared" si="168"/>
        <v>189.0904513240786</v>
      </c>
      <c r="K573" s="97">
        <f t="shared" si="168"/>
        <v>270.19734138446495</v>
      </c>
      <c r="L573" s="97">
        <f t="shared" si="168"/>
        <v>346.94542837729568</v>
      </c>
      <c r="M573" s="97">
        <f t="shared" si="168"/>
        <v>417.58366154011344</v>
      </c>
      <c r="N573" s="97">
        <f t="shared" si="168"/>
        <v>481.14472083990216</v>
      </c>
      <c r="O573" s="97">
        <f t="shared" si="168"/>
        <v>535.39998097022044</v>
      </c>
      <c r="P573" s="97">
        <f t="shared" si="168"/>
        <v>579.65789761613212</v>
      </c>
      <c r="Q573" s="97">
        <f t="shared" si="168"/>
        <v>613.80354004369326</v>
      </c>
      <c r="R573" s="97">
        <f t="shared" si="168"/>
        <v>636.81592050448103</v>
      </c>
      <c r="S573" s="97">
        <f t="shared" si="168"/>
        <v>648.68182119373751</v>
      </c>
      <c r="T573" s="97">
        <f t="shared" si="168"/>
        <v>648.68182119373751</v>
      </c>
      <c r="U573" s="97">
        <f t="shared" si="168"/>
        <v>636.81592050448103</v>
      </c>
      <c r="V573" s="97">
        <f t="shared" si="168"/>
        <v>613.80354004369326</v>
      </c>
      <c r="W573" s="97">
        <f t="shared" si="168"/>
        <v>579.65789761613212</v>
      </c>
      <c r="X573" s="97">
        <f t="shared" si="168"/>
        <v>535.39998097022044</v>
      </c>
      <c r="Y573" s="97">
        <f t="shared" si="168"/>
        <v>481.14472083990216</v>
      </c>
      <c r="Z573" s="97">
        <f t="shared" si="168"/>
        <v>417.58366154011344</v>
      </c>
      <c r="AA573" s="97">
        <f t="shared" si="168"/>
        <v>346.94542837729568</v>
      </c>
      <c r="AB573" s="97">
        <f t="shared" si="168"/>
        <v>270.19734138446495</v>
      </c>
      <c r="AC573" s="97">
        <f t="shared" si="168"/>
        <v>189.0904513240786</v>
      </c>
      <c r="AD573" s="97">
        <f t="shared" si="168"/>
        <v>105.78416401816959</v>
      </c>
      <c r="AE573" s="97">
        <f t="shared" si="168"/>
        <v>26.61830376436707</v>
      </c>
      <c r="AF573" s="28"/>
      <c r="AG573" s="11"/>
    </row>
    <row r="574" spans="1:33">
      <c r="B574" s="24" t="s">
        <v>1064</v>
      </c>
      <c r="D574" s="2" t="s">
        <v>1065</v>
      </c>
      <c r="E574" s="106" t="s">
        <v>970</v>
      </c>
      <c r="G574" t="s">
        <v>853</v>
      </c>
      <c r="I574" t="s">
        <v>1076</v>
      </c>
      <c r="AF574" s="28"/>
      <c r="AG574" s="11"/>
    </row>
    <row r="575" spans="1:33">
      <c r="A575" t="s">
        <v>895</v>
      </c>
      <c r="C575" s="11"/>
      <c r="D575" s="24"/>
      <c r="G575" s="97">
        <f>SUM(H575:AE575)/48</f>
        <v>141.50859425431909</v>
      </c>
      <c r="H575" s="97">
        <f>H573*$F$15</f>
        <v>18.632812635056947</v>
      </c>
      <c r="I575" s="97">
        <f t="shared" ref="I575:AE575" si="169">I573*$F$15</f>
        <v>74.048914812718706</v>
      </c>
      <c r="J575" s="97">
        <f t="shared" si="169"/>
        <v>132.36331592685502</v>
      </c>
      <c r="K575" s="97">
        <f t="shared" si="169"/>
        <v>189.13813896912546</v>
      </c>
      <c r="L575" s="97">
        <f t="shared" si="169"/>
        <v>242.86179986410696</v>
      </c>
      <c r="M575" s="97">
        <f t="shared" si="169"/>
        <v>292.30856307807937</v>
      </c>
      <c r="N575" s="97">
        <f t="shared" si="169"/>
        <v>336.8013045879315</v>
      </c>
      <c r="O575" s="97">
        <f t="shared" si="169"/>
        <v>374.77998667915426</v>
      </c>
      <c r="P575" s="97">
        <f t="shared" si="169"/>
        <v>405.76052833129245</v>
      </c>
      <c r="Q575" s="97">
        <f t="shared" si="169"/>
        <v>429.66247803058525</v>
      </c>
      <c r="R575" s="97">
        <f t="shared" si="169"/>
        <v>445.77114435313672</v>
      </c>
      <c r="S575" s="97">
        <f t="shared" si="169"/>
        <v>454.07727483561621</v>
      </c>
      <c r="T575" s="97">
        <f t="shared" si="169"/>
        <v>454.07727483561621</v>
      </c>
      <c r="U575" s="97">
        <f t="shared" si="169"/>
        <v>445.77114435313672</v>
      </c>
      <c r="V575" s="97">
        <f t="shared" si="169"/>
        <v>429.66247803058525</v>
      </c>
      <c r="W575" s="97">
        <f t="shared" si="169"/>
        <v>405.76052833129245</v>
      </c>
      <c r="X575" s="97">
        <f t="shared" si="169"/>
        <v>374.77998667915426</v>
      </c>
      <c r="Y575" s="97">
        <f t="shared" si="169"/>
        <v>336.8013045879315</v>
      </c>
      <c r="Z575" s="97">
        <f t="shared" si="169"/>
        <v>292.30856307807937</v>
      </c>
      <c r="AA575" s="97">
        <f t="shared" si="169"/>
        <v>242.86179986410696</v>
      </c>
      <c r="AB575" s="97">
        <f t="shared" si="169"/>
        <v>189.13813896912546</v>
      </c>
      <c r="AC575" s="97">
        <f t="shared" si="169"/>
        <v>132.36331592685502</v>
      </c>
      <c r="AD575" s="97">
        <f t="shared" si="169"/>
        <v>74.048914812718706</v>
      </c>
      <c r="AE575" s="97">
        <f t="shared" si="169"/>
        <v>18.632812635056947</v>
      </c>
      <c r="AF575" s="28"/>
      <c r="AG575" s="11"/>
    </row>
    <row r="576" spans="1:33">
      <c r="B576" s="24" t="s">
        <v>938</v>
      </c>
      <c r="C576" s="14" t="s">
        <v>897</v>
      </c>
      <c r="D576" s="24" t="s">
        <v>1098</v>
      </c>
      <c r="I576" s="24"/>
      <c r="AF576" s="28"/>
      <c r="AG576" s="11"/>
    </row>
    <row r="577" spans="1:33">
      <c r="A577" s="20" t="s">
        <v>896</v>
      </c>
      <c r="B577" s="11"/>
      <c r="C577" s="11"/>
      <c r="E577" s="14" t="s">
        <v>563</v>
      </c>
      <c r="F577" s="31">
        <f>$F$15</f>
        <v>0.7</v>
      </c>
      <c r="G577" s="19">
        <f>SUM(H577:AE577)/48</f>
        <v>134.32500278567568</v>
      </c>
      <c r="H577" s="2">
        <f>H575*(1-($F$16+$F$13)*$H$491)</f>
        <v>17.686930057483814</v>
      </c>
      <c r="I577" s="2">
        <f t="shared" ref="I577:AE577" si="170">I575*(1-($F$16+$F$13)*$H$491)</f>
        <v>70.289869960962548</v>
      </c>
      <c r="J577" s="2">
        <f t="shared" si="170"/>
        <v>125.64397854622462</v>
      </c>
      <c r="K577" s="2">
        <f t="shared" si="170"/>
        <v>179.53666473603496</v>
      </c>
      <c r="L577" s="2">
        <f t="shared" si="170"/>
        <v>230.53307903441831</v>
      </c>
      <c r="M577" s="2">
        <f t="shared" si="170"/>
        <v>277.46970957236721</v>
      </c>
      <c r="N577" s="2">
        <f t="shared" si="170"/>
        <v>319.70380608605524</v>
      </c>
      <c r="O577" s="2">
        <f t="shared" si="170"/>
        <v>355.7545251577987</v>
      </c>
      <c r="P577" s="2">
        <f t="shared" si="170"/>
        <v>385.16235982433653</v>
      </c>
      <c r="Q577" s="2">
        <f t="shared" si="170"/>
        <v>407.85094264051833</v>
      </c>
      <c r="R577" s="2">
        <f t="shared" si="170"/>
        <v>423.14186302632527</v>
      </c>
      <c r="S577" s="2">
        <f t="shared" si="170"/>
        <v>431.02633821369142</v>
      </c>
      <c r="T577" s="2">
        <f t="shared" si="170"/>
        <v>431.02633821369142</v>
      </c>
      <c r="U577" s="2">
        <f t="shared" si="170"/>
        <v>423.14186302632527</v>
      </c>
      <c r="V577" s="2">
        <f t="shared" si="170"/>
        <v>407.85094264051833</v>
      </c>
      <c r="W577" s="2">
        <f t="shared" si="170"/>
        <v>385.16235982433653</v>
      </c>
      <c r="X577" s="2">
        <f t="shared" si="170"/>
        <v>355.7545251577987</v>
      </c>
      <c r="Y577" s="2">
        <f t="shared" si="170"/>
        <v>319.70380608605524</v>
      </c>
      <c r="Z577" s="2">
        <f t="shared" si="170"/>
        <v>277.46970957236721</v>
      </c>
      <c r="AA577" s="2">
        <f t="shared" si="170"/>
        <v>230.53307903441831</v>
      </c>
      <c r="AB577" s="2">
        <f t="shared" si="170"/>
        <v>179.53666473603496</v>
      </c>
      <c r="AC577" s="2">
        <f t="shared" si="170"/>
        <v>125.64397854622462</v>
      </c>
      <c r="AD577" s="2">
        <f t="shared" si="170"/>
        <v>70.289869960962548</v>
      </c>
      <c r="AE577" s="2">
        <f t="shared" si="170"/>
        <v>17.686930057483814</v>
      </c>
      <c r="AF577" s="28"/>
      <c r="AG577" s="11"/>
    </row>
    <row r="578" spans="1:33">
      <c r="A578" s="3"/>
      <c r="B578" s="5" t="s">
        <v>88</v>
      </c>
      <c r="C578" s="11"/>
      <c r="D578" t="s">
        <v>1068</v>
      </c>
      <c r="F578" s="27"/>
      <c r="G578" s="2"/>
      <c r="H578" s="2" t="s">
        <v>898</v>
      </c>
      <c r="I578" s="2"/>
      <c r="J578" s="2" t="s">
        <v>899</v>
      </c>
      <c r="K578" s="2"/>
      <c r="L578" t="s">
        <v>253</v>
      </c>
      <c r="M578" s="2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11"/>
    </row>
    <row r="579" spans="1:33">
      <c r="A579" t="s">
        <v>834</v>
      </c>
      <c r="B579" s="5"/>
      <c r="C579" s="11"/>
      <c r="D579" s="5" t="s">
        <v>23</v>
      </c>
      <c r="F579" t="s">
        <v>1099</v>
      </c>
      <c r="G579" s="97">
        <f>SUM(H579:AE579)/48</f>
        <v>7.042736733964122</v>
      </c>
      <c r="H579" s="97">
        <f>H575*$H$491*$F$16</f>
        <v>0.9273358603658175</v>
      </c>
      <c r="I579" s="97">
        <f t="shared" ref="I579:AE579" si="171">I575*$H$491*$F$16</f>
        <v>3.685338089957011</v>
      </c>
      <c r="J579" s="97">
        <f t="shared" si="171"/>
        <v>6.5875856672847108</v>
      </c>
      <c r="K579" s="97">
        <f t="shared" si="171"/>
        <v>9.4132100324416452</v>
      </c>
      <c r="L579" s="97">
        <f t="shared" si="171"/>
        <v>12.086981205577088</v>
      </c>
      <c r="M579" s="97">
        <f t="shared" si="171"/>
        <v>14.547895593835456</v>
      </c>
      <c r="N579" s="97">
        <f t="shared" si="171"/>
        <v>16.762253433211999</v>
      </c>
      <c r="O579" s="97">
        <f t="shared" si="171"/>
        <v>18.652413256230918</v>
      </c>
      <c r="P579" s="97">
        <f t="shared" si="171"/>
        <v>20.194282849956739</v>
      </c>
      <c r="Q579" s="97">
        <f t="shared" si="171"/>
        <v>21.383858225555766</v>
      </c>
      <c r="R579" s="97">
        <f t="shared" si="171"/>
        <v>22.185569928246512</v>
      </c>
      <c r="S579" s="97">
        <f t="shared" si="171"/>
        <v>22.598957472475274</v>
      </c>
      <c r="T579" s="97">
        <f t="shared" si="171"/>
        <v>22.598957472475274</v>
      </c>
      <c r="U579" s="97">
        <f t="shared" si="171"/>
        <v>22.185569928246512</v>
      </c>
      <c r="V579" s="97">
        <f t="shared" si="171"/>
        <v>21.383858225555766</v>
      </c>
      <c r="W579" s="97">
        <f t="shared" si="171"/>
        <v>20.194282849956739</v>
      </c>
      <c r="X579" s="97">
        <f t="shared" si="171"/>
        <v>18.652413256230918</v>
      </c>
      <c r="Y579" s="97">
        <f t="shared" si="171"/>
        <v>16.762253433211999</v>
      </c>
      <c r="Z579" s="97">
        <f t="shared" si="171"/>
        <v>14.547895593835456</v>
      </c>
      <c r="AA579" s="97">
        <f t="shared" si="171"/>
        <v>12.086981205577088</v>
      </c>
      <c r="AB579" s="97">
        <f t="shared" si="171"/>
        <v>9.4132100324416452</v>
      </c>
      <c r="AC579" s="97">
        <f t="shared" si="171"/>
        <v>6.5875856672847108</v>
      </c>
      <c r="AD579" s="97">
        <f t="shared" si="171"/>
        <v>3.685338089957011</v>
      </c>
      <c r="AE579" s="97">
        <f t="shared" si="171"/>
        <v>0.9273358603658175</v>
      </c>
      <c r="AF579" s="28"/>
      <c r="AG579" s="11"/>
    </row>
    <row r="580" spans="1:33">
      <c r="A580" t="s">
        <v>930</v>
      </c>
      <c r="B580" s="5"/>
      <c r="C580" s="11"/>
      <c r="D580" s="5" t="s">
        <v>30</v>
      </c>
      <c r="G580" s="97">
        <f>SUM(H580:AE580)/48</f>
        <v>4.9299157137748848</v>
      </c>
      <c r="H580" s="97">
        <f>H579*$F$15</f>
        <v>0.64913510225607218</v>
      </c>
      <c r="I580" s="97">
        <f t="shared" ref="I580:AE580" si="172">I579*$F$15</f>
        <v>2.5797366629699074</v>
      </c>
      <c r="J580" s="97">
        <f t="shared" si="172"/>
        <v>4.611309967099297</v>
      </c>
      <c r="K580" s="97">
        <f t="shared" si="172"/>
        <v>6.5892470227091513</v>
      </c>
      <c r="L580" s="97">
        <f t="shared" si="172"/>
        <v>8.4608868439039604</v>
      </c>
      <c r="M580" s="97">
        <f t="shared" si="172"/>
        <v>10.183526915684819</v>
      </c>
      <c r="N580" s="97">
        <f t="shared" si="172"/>
        <v>11.733577403248399</v>
      </c>
      <c r="O580" s="97">
        <f t="shared" si="172"/>
        <v>13.056689279361642</v>
      </c>
      <c r="P580" s="97">
        <f t="shared" si="172"/>
        <v>14.135997994969717</v>
      </c>
      <c r="Q580" s="97">
        <f t="shared" si="172"/>
        <v>14.968700757889035</v>
      </c>
      <c r="R580" s="97">
        <f t="shared" si="172"/>
        <v>15.529898949772557</v>
      </c>
      <c r="S580" s="97">
        <f t="shared" si="172"/>
        <v>15.819270230732691</v>
      </c>
      <c r="T580" s="97">
        <f t="shared" si="172"/>
        <v>15.819270230732691</v>
      </c>
      <c r="U580" s="97">
        <f t="shared" si="172"/>
        <v>15.529898949772557</v>
      </c>
      <c r="V580" s="97">
        <f t="shared" si="172"/>
        <v>14.968700757889035</v>
      </c>
      <c r="W580" s="97">
        <f t="shared" si="172"/>
        <v>14.135997994969717</v>
      </c>
      <c r="X580" s="97">
        <f t="shared" si="172"/>
        <v>13.056689279361642</v>
      </c>
      <c r="Y580" s="97">
        <f t="shared" si="172"/>
        <v>11.733577403248399</v>
      </c>
      <c r="Z580" s="97">
        <f t="shared" si="172"/>
        <v>10.183526915684819</v>
      </c>
      <c r="AA580" s="97">
        <f t="shared" si="172"/>
        <v>8.4608868439039604</v>
      </c>
      <c r="AB580" s="97">
        <f t="shared" si="172"/>
        <v>6.5892470227091513</v>
      </c>
      <c r="AC580" s="97">
        <f t="shared" si="172"/>
        <v>4.611309967099297</v>
      </c>
      <c r="AD580" s="97">
        <f t="shared" si="172"/>
        <v>2.5797366629699074</v>
      </c>
      <c r="AE580" s="97">
        <f t="shared" si="172"/>
        <v>0.64913510225607218</v>
      </c>
      <c r="AF580" s="28"/>
      <c r="AG580" s="11"/>
    </row>
    <row r="581" spans="1:33">
      <c r="A581" s="20" t="s">
        <v>835</v>
      </c>
      <c r="B581" s="5"/>
      <c r="C581" s="11"/>
      <c r="G581" s="19">
        <f>SUM(H581:AE581)/48</f>
        <v>4.67965175878882</v>
      </c>
      <c r="H581" s="24">
        <f>H580*(1-($F$16+$F$13)*$H$491)</f>
        <v>0.61618218227876587</v>
      </c>
      <c r="I581" s="24">
        <f t="shared" ref="I581:AE581" si="173">I580*(1-($F$16+$F$13)*$H$491)</f>
        <v>2.4487780142665505</v>
      </c>
      <c r="J581" s="24">
        <f t="shared" si="173"/>
        <v>4.3772198249882726</v>
      </c>
      <c r="K581" s="24">
        <f t="shared" si="173"/>
        <v>6.2547481963548455</v>
      </c>
      <c r="L581" s="24">
        <f t="shared" si="173"/>
        <v>8.0313754430642863</v>
      </c>
      <c r="M581" s="24">
        <f t="shared" si="173"/>
        <v>9.6665668154329492</v>
      </c>
      <c r="N581" s="24">
        <f t="shared" si="173"/>
        <v>11.137930001231544</v>
      </c>
      <c r="O581" s="24">
        <f t="shared" si="173"/>
        <v>12.393874966137783</v>
      </c>
      <c r="P581" s="24">
        <f t="shared" si="173"/>
        <v>13.418393278927352</v>
      </c>
      <c r="Q581" s="24">
        <f t="shared" si="173"/>
        <v>14.208824429333353</v>
      </c>
      <c r="R581" s="24">
        <f t="shared" si="173"/>
        <v>14.74153376112554</v>
      </c>
      <c r="S581" s="24">
        <f t="shared" si="173"/>
        <v>15.016215297790428</v>
      </c>
      <c r="T581" s="24">
        <f t="shared" si="173"/>
        <v>15.016215297790428</v>
      </c>
      <c r="U581" s="24">
        <f t="shared" si="173"/>
        <v>14.74153376112554</v>
      </c>
      <c r="V581" s="24">
        <f t="shared" si="173"/>
        <v>14.208824429333353</v>
      </c>
      <c r="W581" s="24">
        <f t="shared" si="173"/>
        <v>13.418393278927352</v>
      </c>
      <c r="X581" s="24">
        <f t="shared" si="173"/>
        <v>12.393874966137783</v>
      </c>
      <c r="Y581" s="24">
        <f t="shared" si="173"/>
        <v>11.137930001231544</v>
      </c>
      <c r="Z581" s="24">
        <f t="shared" si="173"/>
        <v>9.6665668154329492</v>
      </c>
      <c r="AA581" s="24">
        <f t="shared" si="173"/>
        <v>8.0313754430642863</v>
      </c>
      <c r="AB581" s="24">
        <f t="shared" si="173"/>
        <v>6.2547481963548455</v>
      </c>
      <c r="AC581" s="24">
        <f t="shared" si="173"/>
        <v>4.3772198249882726</v>
      </c>
      <c r="AD581" s="24">
        <f t="shared" si="173"/>
        <v>2.4487780142665505</v>
      </c>
      <c r="AE581" s="24">
        <f t="shared" si="173"/>
        <v>0.61618218227876587</v>
      </c>
      <c r="AF581" s="28"/>
      <c r="AG581" s="11"/>
    </row>
    <row r="582" spans="1:33">
      <c r="A582" s="20"/>
      <c r="B582" s="24" t="s">
        <v>33</v>
      </c>
      <c r="C582" s="11"/>
      <c r="D582" t="s">
        <v>1068</v>
      </c>
      <c r="G582" s="27"/>
      <c r="H582" s="24" t="s">
        <v>900</v>
      </c>
      <c r="K582" t="s">
        <v>853</v>
      </c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8"/>
      <c r="AG582" s="11"/>
    </row>
    <row r="583" spans="1:33">
      <c r="A583" s="100" t="s">
        <v>836</v>
      </c>
      <c r="B583" s="5"/>
      <c r="C583" s="11"/>
      <c r="G583" s="19">
        <f>SUM(H583:AE583)/48</f>
        <v>0.16303100784949767</v>
      </c>
      <c r="H583" s="2">
        <f>H581^2/H577</f>
        <v>2.1466726024461733E-2</v>
      </c>
      <c r="I583" s="2">
        <f t="shared" ref="I583:AE583" si="174">I581^2/I577</f>
        <v>8.5311208663290491E-2</v>
      </c>
      <c r="J583" s="2">
        <f t="shared" si="174"/>
        <v>0.15249480013259331</v>
      </c>
      <c r="K583" s="2">
        <f t="shared" si="174"/>
        <v>0.21790465505930726</v>
      </c>
      <c r="L583" s="2">
        <f t="shared" si="174"/>
        <v>0.2797992885776962</v>
      </c>
      <c r="M583" s="2">
        <f t="shared" si="174"/>
        <v>0.33676653981885779</v>
      </c>
      <c r="N583" s="2">
        <f t="shared" si="174"/>
        <v>0.3880262991893878</v>
      </c>
      <c r="O583" s="2">
        <f t="shared" si="174"/>
        <v>0.43178125874329304</v>
      </c>
      <c r="P583" s="2">
        <f t="shared" si="174"/>
        <v>0.46747371230688484</v>
      </c>
      <c r="Q583" s="2">
        <f t="shared" si="174"/>
        <v>0.49501097228446928</v>
      </c>
      <c r="R583" s="2">
        <f t="shared" si="174"/>
        <v>0.51356964795724847</v>
      </c>
      <c r="S583" s="2">
        <f t="shared" si="174"/>
        <v>0.52313907963045392</v>
      </c>
      <c r="T583" s="2">
        <f t="shared" si="174"/>
        <v>0.52313907963045392</v>
      </c>
      <c r="U583" s="2">
        <f t="shared" si="174"/>
        <v>0.51356964795724847</v>
      </c>
      <c r="V583" s="2">
        <f t="shared" si="174"/>
        <v>0.49501097228446928</v>
      </c>
      <c r="W583" s="2">
        <f t="shared" si="174"/>
        <v>0.46747371230688484</v>
      </c>
      <c r="X583" s="2">
        <f t="shared" si="174"/>
        <v>0.43178125874329304</v>
      </c>
      <c r="Y583" s="2">
        <f t="shared" si="174"/>
        <v>0.3880262991893878</v>
      </c>
      <c r="Z583" s="2">
        <f t="shared" si="174"/>
        <v>0.33676653981885779</v>
      </c>
      <c r="AA583" s="2">
        <f t="shared" si="174"/>
        <v>0.2797992885776962</v>
      </c>
      <c r="AB583" s="2">
        <f t="shared" si="174"/>
        <v>0.21790465505930726</v>
      </c>
      <c r="AC583" s="2">
        <f t="shared" si="174"/>
        <v>0.15249480013259331</v>
      </c>
      <c r="AD583" s="2">
        <f t="shared" si="174"/>
        <v>8.5311208663290491E-2</v>
      </c>
      <c r="AE583" s="2">
        <f t="shared" si="174"/>
        <v>2.1466726024461733E-2</v>
      </c>
      <c r="AF583" s="28"/>
      <c r="AG583" s="11"/>
    </row>
    <row r="584" spans="1:33">
      <c r="A584" s="100"/>
      <c r="B584" s="24" t="s">
        <v>1100</v>
      </c>
      <c r="C584" s="11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8"/>
      <c r="AG584" s="11"/>
    </row>
    <row r="585" spans="1:33">
      <c r="A585" s="20" t="s">
        <v>901</v>
      </c>
      <c r="B585" s="11"/>
      <c r="C585" s="11"/>
      <c r="D585" s="24"/>
      <c r="E585" s="27"/>
      <c r="F585" s="6"/>
      <c r="G585" s="19">
        <f>SUM(H585:AE585)/24</f>
        <v>264.77650940590888</v>
      </c>
      <c r="H585" s="2">
        <f>$M$9*($F$7+273)^4*(1-$H$491)</f>
        <v>264.77650940590894</v>
      </c>
      <c r="I585" s="2">
        <f t="shared" ref="I585:AE585" si="175">$M$9*($F$7+273)^4*(1-$H$491)</f>
        <v>264.77650940590894</v>
      </c>
      <c r="J585" s="2">
        <f t="shared" si="175"/>
        <v>264.77650940590894</v>
      </c>
      <c r="K585" s="2">
        <f t="shared" si="175"/>
        <v>264.77650940590894</v>
      </c>
      <c r="L585" s="2">
        <f t="shared" si="175"/>
        <v>264.77650940590894</v>
      </c>
      <c r="M585" s="2">
        <f t="shared" si="175"/>
        <v>264.77650940590894</v>
      </c>
      <c r="N585" s="2">
        <f t="shared" si="175"/>
        <v>264.77650940590894</v>
      </c>
      <c r="O585" s="2">
        <f t="shared" si="175"/>
        <v>264.77650940590894</v>
      </c>
      <c r="P585" s="2">
        <f t="shared" si="175"/>
        <v>264.77650940590894</v>
      </c>
      <c r="Q585" s="2">
        <f t="shared" si="175"/>
        <v>264.77650940590894</v>
      </c>
      <c r="R585" s="2">
        <f t="shared" si="175"/>
        <v>264.77650940590894</v>
      </c>
      <c r="S585" s="2">
        <f t="shared" si="175"/>
        <v>264.77650940590894</v>
      </c>
      <c r="T585" s="2">
        <f t="shared" si="175"/>
        <v>264.77650940590894</v>
      </c>
      <c r="U585" s="2">
        <f t="shared" si="175"/>
        <v>264.77650940590894</v>
      </c>
      <c r="V585" s="2">
        <f t="shared" si="175"/>
        <v>264.77650940590894</v>
      </c>
      <c r="W585" s="2">
        <f t="shared" si="175"/>
        <v>264.77650940590894</v>
      </c>
      <c r="X585" s="2">
        <f t="shared" si="175"/>
        <v>264.77650940590894</v>
      </c>
      <c r="Y585" s="2">
        <f t="shared" si="175"/>
        <v>264.77650940590894</v>
      </c>
      <c r="Z585" s="2">
        <f t="shared" si="175"/>
        <v>264.77650940590894</v>
      </c>
      <c r="AA585" s="2">
        <f t="shared" si="175"/>
        <v>264.77650940590894</v>
      </c>
      <c r="AB585" s="2">
        <f t="shared" si="175"/>
        <v>264.77650940590894</v>
      </c>
      <c r="AC585" s="2">
        <f t="shared" si="175"/>
        <v>264.77650940590894</v>
      </c>
      <c r="AD585" s="2">
        <f t="shared" si="175"/>
        <v>264.77650940590894</v>
      </c>
      <c r="AE585" s="2">
        <f t="shared" si="175"/>
        <v>264.77650940590894</v>
      </c>
      <c r="AF585" s="28"/>
      <c r="AG585" s="11"/>
    </row>
    <row r="586" spans="1:33">
      <c r="A586" s="14"/>
      <c r="B586" s="5" t="s">
        <v>1074</v>
      </c>
      <c r="D586" t="s">
        <v>1056</v>
      </c>
      <c r="E586" s="12"/>
      <c r="F586" s="6"/>
      <c r="G586" s="2"/>
      <c r="H586" s="2" t="s">
        <v>1075</v>
      </c>
      <c r="J586" s="10"/>
      <c r="K586" s="9"/>
      <c r="AF586" s="2"/>
    </row>
    <row r="587" spans="1:33">
      <c r="A587" s="20" t="s">
        <v>914</v>
      </c>
      <c r="B587" s="11"/>
      <c r="C587" s="11"/>
      <c r="D587" s="11"/>
      <c r="E587" s="27"/>
      <c r="F587" s="6"/>
      <c r="G587" s="19">
        <f>SUM(H587:AE587)/24</f>
        <v>12.551783676120003</v>
      </c>
      <c r="H587" s="24">
        <f t="shared" ref="H587:AE587" si="176">$M$9*($F$9+273)^4*$F$11*$H$18</f>
        <v>12.551783676119999</v>
      </c>
      <c r="I587" s="24">
        <f t="shared" si="176"/>
        <v>12.551783676119999</v>
      </c>
      <c r="J587" s="24">
        <f t="shared" si="176"/>
        <v>12.551783676119999</v>
      </c>
      <c r="K587" s="24">
        <f t="shared" si="176"/>
        <v>12.551783676119999</v>
      </c>
      <c r="L587" s="24">
        <f t="shared" si="176"/>
        <v>12.551783676119999</v>
      </c>
      <c r="M587" s="24">
        <f t="shared" si="176"/>
        <v>12.551783676119999</v>
      </c>
      <c r="N587" s="24">
        <f t="shared" si="176"/>
        <v>12.551783676119999</v>
      </c>
      <c r="O587" s="24">
        <f t="shared" si="176"/>
        <v>12.551783676119999</v>
      </c>
      <c r="P587" s="24">
        <f t="shared" si="176"/>
        <v>12.551783676119999</v>
      </c>
      <c r="Q587" s="24">
        <f t="shared" si="176"/>
        <v>12.551783676119999</v>
      </c>
      <c r="R587" s="24">
        <f t="shared" si="176"/>
        <v>12.551783676119999</v>
      </c>
      <c r="S587" s="24">
        <f t="shared" si="176"/>
        <v>12.551783676119999</v>
      </c>
      <c r="T587" s="24">
        <f t="shared" si="176"/>
        <v>12.551783676119999</v>
      </c>
      <c r="U587" s="24">
        <f t="shared" si="176"/>
        <v>12.551783676119999</v>
      </c>
      <c r="V587" s="24">
        <f t="shared" si="176"/>
        <v>12.551783676119999</v>
      </c>
      <c r="W587" s="24">
        <f t="shared" si="176"/>
        <v>12.551783676119999</v>
      </c>
      <c r="X587" s="24">
        <f t="shared" si="176"/>
        <v>12.551783676119999</v>
      </c>
      <c r="Y587" s="24">
        <f t="shared" si="176"/>
        <v>12.551783676119999</v>
      </c>
      <c r="Z587" s="24">
        <f t="shared" si="176"/>
        <v>12.551783676119999</v>
      </c>
      <c r="AA587" s="24">
        <f t="shared" si="176"/>
        <v>12.551783676119999</v>
      </c>
      <c r="AB587" s="24">
        <f t="shared" si="176"/>
        <v>12.551783676119999</v>
      </c>
      <c r="AC587" s="24">
        <f t="shared" si="176"/>
        <v>12.551783676119999</v>
      </c>
      <c r="AD587" s="24">
        <f t="shared" si="176"/>
        <v>12.551783676119999</v>
      </c>
      <c r="AE587" s="24">
        <f t="shared" si="176"/>
        <v>12.551783676119999</v>
      </c>
      <c r="AF587" s="28"/>
      <c r="AG587" s="11"/>
    </row>
    <row r="588" spans="1:33">
      <c r="A588" s="20"/>
      <c r="B588" s="5" t="s">
        <v>272</v>
      </c>
      <c r="C588" s="11"/>
      <c r="D588" t="s">
        <v>743</v>
      </c>
      <c r="E588" s="27"/>
      <c r="F588" s="6"/>
      <c r="G588" s="28"/>
      <c r="H588" t="s">
        <v>717</v>
      </c>
      <c r="I588" s="29"/>
      <c r="J588" s="11"/>
      <c r="K588" s="2" t="s">
        <v>273</v>
      </c>
      <c r="L588" s="11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11"/>
    </row>
    <row r="589" spans="1:33">
      <c r="A589" s="20"/>
      <c r="B589" s="27" t="s">
        <v>925</v>
      </c>
      <c r="C589" s="11" t="s">
        <v>266</v>
      </c>
      <c r="E589" s="27"/>
      <c r="F589" s="6"/>
      <c r="G589" s="28"/>
      <c r="I589" s="29"/>
      <c r="J589" s="11"/>
      <c r="K589" s="2"/>
      <c r="L589" s="11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11"/>
    </row>
    <row r="590" spans="1:33">
      <c r="A590" s="20"/>
      <c r="B590" s="14"/>
      <c r="C590" t="s">
        <v>274</v>
      </c>
      <c r="E590" s="27"/>
      <c r="F590" s="6"/>
      <c r="G590" s="28"/>
      <c r="I590" s="29"/>
      <c r="J590" s="11"/>
      <c r="K590" s="2"/>
      <c r="L590" s="11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11"/>
    </row>
    <row r="591" spans="1:33">
      <c r="A591" s="20"/>
      <c r="B591" s="16" t="s">
        <v>334</v>
      </c>
      <c r="C591" s="11"/>
      <c r="D591" s="11"/>
      <c r="E591" s="21"/>
      <c r="F591" s="21"/>
      <c r="G591" s="82">
        <f>G571+G577+G581+G583+G585+G587</f>
        <v>431.96106185348464</v>
      </c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8"/>
      <c r="AG591" s="11"/>
    </row>
    <row r="592" spans="1:33">
      <c r="A592" s="20"/>
      <c r="B592" s="16" t="s">
        <v>730</v>
      </c>
      <c r="C592" s="11"/>
      <c r="D592" s="11"/>
      <c r="E592" s="21"/>
      <c r="F592" s="21"/>
      <c r="G592" s="82">
        <f>G568-G591</f>
        <v>14.634759451301818</v>
      </c>
      <c r="H592" s="24"/>
      <c r="I592" s="32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8"/>
      <c r="AG592" s="11"/>
    </row>
    <row r="593" spans="1:33">
      <c r="A593" s="20"/>
      <c r="B593" s="16"/>
      <c r="C593" s="11"/>
      <c r="D593" s="11"/>
      <c r="E593" s="21"/>
      <c r="F593" s="21"/>
      <c r="G593" s="82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8"/>
      <c r="AG593" s="11"/>
    </row>
    <row r="594" spans="1:33">
      <c r="A594" s="20"/>
      <c r="B594" s="16"/>
      <c r="C594" s="11"/>
      <c r="D594" s="11"/>
      <c r="E594" s="21"/>
      <c r="F594" s="21"/>
      <c r="G594" s="82"/>
      <c r="H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8"/>
      <c r="AG594" s="11"/>
    </row>
    <row r="595" spans="1:33" ht="18.75">
      <c r="A595" s="85" t="s">
        <v>510</v>
      </c>
      <c r="B595" s="30" t="s">
        <v>609</v>
      </c>
      <c r="H595" s="4" t="s">
        <v>484</v>
      </c>
      <c r="I595" s="4" t="s">
        <v>486</v>
      </c>
      <c r="J595" s="4" t="s">
        <v>485</v>
      </c>
      <c r="K595" s="4" t="s">
        <v>487</v>
      </c>
      <c r="L595" s="4" t="s">
        <v>488</v>
      </c>
      <c r="M595" s="4" t="s">
        <v>489</v>
      </c>
      <c r="N595" s="4" t="s">
        <v>490</v>
      </c>
      <c r="O595" s="4" t="s">
        <v>491</v>
      </c>
      <c r="P595" s="4" t="s">
        <v>494</v>
      </c>
      <c r="Q595" s="4" t="s">
        <v>492</v>
      </c>
      <c r="R595" s="4" t="s">
        <v>495</v>
      </c>
      <c r="S595" s="4" t="s">
        <v>493</v>
      </c>
      <c r="T595" s="4" t="s">
        <v>515</v>
      </c>
      <c r="U595" s="4" t="s">
        <v>517</v>
      </c>
      <c r="V595" s="4" t="s">
        <v>518</v>
      </c>
      <c r="W595" s="4" t="s">
        <v>516</v>
      </c>
      <c r="X595" s="4" t="s">
        <v>519</v>
      </c>
      <c r="Y595" s="4" t="s">
        <v>520</v>
      </c>
      <c r="Z595" s="4" t="s">
        <v>521</v>
      </c>
      <c r="AA595" s="4" t="s">
        <v>522</v>
      </c>
      <c r="AB595" s="4" t="s">
        <v>523</v>
      </c>
      <c r="AC595" s="4" t="s">
        <v>524</v>
      </c>
      <c r="AD595" s="4" t="s">
        <v>525</v>
      </c>
      <c r="AE595" s="4" t="s">
        <v>526</v>
      </c>
      <c r="AF595" s="2"/>
    </row>
    <row r="596" spans="1:33">
      <c r="A596" s="3" t="s">
        <v>722</v>
      </c>
      <c r="G596" t="s">
        <v>535</v>
      </c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2"/>
    </row>
    <row r="597" spans="1:33">
      <c r="A597" t="s">
        <v>561</v>
      </c>
      <c r="B597" s="11"/>
      <c r="C597" s="11"/>
      <c r="D597" s="5" t="s">
        <v>1101</v>
      </c>
      <c r="E597" s="12"/>
      <c r="F597" s="6"/>
      <c r="G597" s="2">
        <f>SUM(H597:AE597)/48</f>
        <v>184.1470466962783</v>
      </c>
      <c r="H597" s="2">
        <f>H$67</f>
        <v>37.453394473334477</v>
      </c>
      <c r="I597" s="2">
        <f t="shared" ref="I597:AE597" si="177">I$67</f>
        <v>112.48550293278892</v>
      </c>
      <c r="J597" s="2">
        <f t="shared" si="177"/>
        <v>185.75956375912159</v>
      </c>
      <c r="K597" s="2">
        <f t="shared" si="177"/>
        <v>255.68152047116101</v>
      </c>
      <c r="L597" s="2">
        <f t="shared" si="177"/>
        <v>321.207366934851</v>
      </c>
      <c r="M597" s="2">
        <f t="shared" si="177"/>
        <v>381.1517230301892</v>
      </c>
      <c r="N597" s="2">
        <f t="shared" si="177"/>
        <v>434.66038844890574</v>
      </c>
      <c r="O597" s="2">
        <f t="shared" si="177"/>
        <v>480.74419486819488</v>
      </c>
      <c r="P597" s="2">
        <f t="shared" si="177"/>
        <v>518.71657007614999</v>
      </c>
      <c r="Q597" s="2">
        <f t="shared" si="177"/>
        <v>547.49575095305079</v>
      </c>
      <c r="R597" s="2">
        <f t="shared" si="177"/>
        <v>567.10275855852819</v>
      </c>
      <c r="S597" s="2">
        <f t="shared" si="177"/>
        <v>577.0703862044046</v>
      </c>
      <c r="T597" s="2">
        <f t="shared" si="177"/>
        <v>577.0703862044046</v>
      </c>
      <c r="U597" s="2">
        <f t="shared" si="177"/>
        <v>567.10275855852819</v>
      </c>
      <c r="V597" s="2">
        <f t="shared" si="177"/>
        <v>547.49575095305079</v>
      </c>
      <c r="W597" s="2">
        <f t="shared" si="177"/>
        <v>518.71657007614999</v>
      </c>
      <c r="X597" s="2">
        <f t="shared" si="177"/>
        <v>480.74419486819488</v>
      </c>
      <c r="Y597" s="2">
        <f t="shared" si="177"/>
        <v>434.66038844890574</v>
      </c>
      <c r="Z597" s="2">
        <f t="shared" si="177"/>
        <v>381.1517230301892</v>
      </c>
      <c r="AA597" s="2">
        <f t="shared" si="177"/>
        <v>321.207366934851</v>
      </c>
      <c r="AB597" s="2">
        <f t="shared" si="177"/>
        <v>255.68152047116101</v>
      </c>
      <c r="AC597" s="2">
        <f t="shared" si="177"/>
        <v>185.75956375912159</v>
      </c>
      <c r="AD597" s="2">
        <f t="shared" si="177"/>
        <v>112.48550293278892</v>
      </c>
      <c r="AE597" s="2">
        <f t="shared" si="177"/>
        <v>37.453394473334477</v>
      </c>
      <c r="AF597" s="2"/>
    </row>
    <row r="598" spans="1:33">
      <c r="A598" s="20" t="s">
        <v>824</v>
      </c>
      <c r="B598" s="11"/>
      <c r="C598" s="11"/>
      <c r="D598" t="s">
        <v>1103</v>
      </c>
      <c r="E598" s="12"/>
      <c r="F598" s="18"/>
      <c r="G598" s="19">
        <f>SUM(H598:AE598)/48</f>
        <v>128.90293268739484</v>
      </c>
      <c r="H598" s="2">
        <f>H$67*$S$20</f>
        <v>26.217376131334131</v>
      </c>
      <c r="I598" s="2">
        <f t="shared" ref="I598:AE598" si="178">I$67*$S$20</f>
        <v>78.739852052952244</v>
      </c>
      <c r="J598" s="2">
        <f t="shared" si="178"/>
        <v>130.03169463138511</v>
      </c>
      <c r="K598" s="2">
        <f t="shared" si="178"/>
        <v>178.97706432981269</v>
      </c>
      <c r="L598" s="2">
        <f t="shared" si="178"/>
        <v>224.84515685439567</v>
      </c>
      <c r="M598" s="2">
        <f t="shared" si="178"/>
        <v>266.80620612113245</v>
      </c>
      <c r="N598" s="2">
        <f t="shared" si="178"/>
        <v>304.26227191423402</v>
      </c>
      <c r="O598" s="2">
        <f t="shared" si="178"/>
        <v>336.52093640773637</v>
      </c>
      <c r="P598" s="2">
        <f t="shared" si="178"/>
        <v>363.10159905330499</v>
      </c>
      <c r="Q598" s="2">
        <f t="shared" si="178"/>
        <v>383.24702566713552</v>
      </c>
      <c r="R598" s="2">
        <f t="shared" si="178"/>
        <v>396.97193099096972</v>
      </c>
      <c r="S598" s="2">
        <f t="shared" si="178"/>
        <v>403.94927034308319</v>
      </c>
      <c r="T598" s="2">
        <f t="shared" si="178"/>
        <v>403.94927034308319</v>
      </c>
      <c r="U598" s="2">
        <f t="shared" si="178"/>
        <v>396.97193099096972</v>
      </c>
      <c r="V598" s="2">
        <f t="shared" si="178"/>
        <v>383.24702566713552</v>
      </c>
      <c r="W598" s="2">
        <f t="shared" si="178"/>
        <v>363.10159905330499</v>
      </c>
      <c r="X598" s="2">
        <f t="shared" si="178"/>
        <v>336.52093640773637</v>
      </c>
      <c r="Y598" s="2">
        <f t="shared" si="178"/>
        <v>304.26227191423402</v>
      </c>
      <c r="Z598" s="2">
        <f t="shared" si="178"/>
        <v>266.80620612113245</v>
      </c>
      <c r="AA598" s="2">
        <f t="shared" si="178"/>
        <v>224.84515685439567</v>
      </c>
      <c r="AB598" s="2">
        <f t="shared" si="178"/>
        <v>178.97706432981269</v>
      </c>
      <c r="AC598" s="2">
        <f t="shared" si="178"/>
        <v>130.03169463138511</v>
      </c>
      <c r="AD598" s="2">
        <f t="shared" si="178"/>
        <v>78.739852052952244</v>
      </c>
      <c r="AE598" s="2">
        <f t="shared" si="178"/>
        <v>26.217376131334131</v>
      </c>
      <c r="AF598" s="2"/>
    </row>
    <row r="599" spans="1:33">
      <c r="A599" s="20"/>
      <c r="B599" s="5" t="s">
        <v>1106</v>
      </c>
      <c r="C599" s="11"/>
      <c r="D599" t="s">
        <v>775</v>
      </c>
      <c r="E599" s="12"/>
      <c r="F599" s="18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3">
      <c r="A600" s="20" t="s">
        <v>825</v>
      </c>
      <c r="D600" t="s">
        <v>1102</v>
      </c>
      <c r="G600" s="19">
        <f>SUM(H600:AE600)/24</f>
        <v>316.61059493700014</v>
      </c>
      <c r="H600" s="2">
        <f>$S$24</f>
        <v>316.61059493700003</v>
      </c>
      <c r="I600" s="2">
        <f t="shared" ref="I600:AE600" si="179">$S$24</f>
        <v>316.61059493700003</v>
      </c>
      <c r="J600" s="2">
        <f t="shared" si="179"/>
        <v>316.61059493700003</v>
      </c>
      <c r="K600" s="2">
        <f t="shared" si="179"/>
        <v>316.61059493700003</v>
      </c>
      <c r="L600" s="2">
        <f t="shared" si="179"/>
        <v>316.61059493700003</v>
      </c>
      <c r="M600" s="2">
        <f t="shared" si="179"/>
        <v>316.61059493700003</v>
      </c>
      <c r="N600" s="2">
        <f t="shared" si="179"/>
        <v>316.61059493700003</v>
      </c>
      <c r="O600" s="2">
        <f t="shared" si="179"/>
        <v>316.61059493700003</v>
      </c>
      <c r="P600" s="2">
        <f t="shared" si="179"/>
        <v>316.61059493700003</v>
      </c>
      <c r="Q600" s="2">
        <f t="shared" si="179"/>
        <v>316.61059493700003</v>
      </c>
      <c r="R600" s="2">
        <f t="shared" si="179"/>
        <v>316.61059493700003</v>
      </c>
      <c r="S600" s="2">
        <f t="shared" si="179"/>
        <v>316.61059493700003</v>
      </c>
      <c r="T600" s="2">
        <f t="shared" si="179"/>
        <v>316.61059493700003</v>
      </c>
      <c r="U600" s="2">
        <f t="shared" si="179"/>
        <v>316.61059493700003</v>
      </c>
      <c r="V600" s="2">
        <f t="shared" si="179"/>
        <v>316.61059493700003</v>
      </c>
      <c r="W600" s="2">
        <f t="shared" si="179"/>
        <v>316.61059493700003</v>
      </c>
      <c r="X600" s="2">
        <f t="shared" si="179"/>
        <v>316.61059493700003</v>
      </c>
      <c r="Y600" s="2">
        <f t="shared" si="179"/>
        <v>316.61059493700003</v>
      </c>
      <c r="Z600" s="2">
        <f t="shared" si="179"/>
        <v>316.61059493700003</v>
      </c>
      <c r="AA600" s="2">
        <f t="shared" si="179"/>
        <v>316.61059493700003</v>
      </c>
      <c r="AB600" s="2">
        <f t="shared" si="179"/>
        <v>316.61059493700003</v>
      </c>
      <c r="AC600" s="2">
        <f t="shared" si="179"/>
        <v>316.61059493700003</v>
      </c>
      <c r="AD600" s="2">
        <f t="shared" si="179"/>
        <v>316.61059493700003</v>
      </c>
      <c r="AE600" s="2">
        <f t="shared" si="179"/>
        <v>316.61059493700003</v>
      </c>
      <c r="AF600" s="2"/>
    </row>
    <row r="601" spans="1:33">
      <c r="A601" s="20"/>
      <c r="B601" s="16" t="s">
        <v>720</v>
      </c>
      <c r="G601" s="32">
        <f>G598+G600</f>
        <v>445.51352762439501</v>
      </c>
      <c r="H601" s="3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3">
      <c r="A602" s="39" t="s">
        <v>510</v>
      </c>
      <c r="B602" s="16"/>
      <c r="F602" s="12"/>
      <c r="G602" s="32"/>
      <c r="H602" s="3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3">
      <c r="A603" s="3" t="s">
        <v>324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3" s="27" customFormat="1">
      <c r="A604" s="27" t="s">
        <v>1031</v>
      </c>
      <c r="G604" s="55"/>
      <c r="H604" s="101">
        <f ca="1">Tabelle3!D$32</f>
        <v>0.84468093560230861</v>
      </c>
      <c r="I604" s="101">
        <f ca="1">Tabelle3!E$32</f>
        <v>0.46005552885710188</v>
      </c>
      <c r="J604" s="101">
        <f ca="1">Tabelle3!F$32</f>
        <v>0.31800702069231457</v>
      </c>
      <c r="K604" s="101">
        <f ca="1">Tabelle3!G$32</f>
        <v>0.23936987823639261</v>
      </c>
      <c r="L604" s="101">
        <f ca="1">Tabelle3!H$32</f>
        <v>0.19845314300821337</v>
      </c>
      <c r="M604" s="101">
        <f ca="1">Tabelle3!I$32</f>
        <v>0.17133609773696387</v>
      </c>
      <c r="N604" s="101">
        <f ca="1">Tabelle3!J$32</f>
        <v>0.1518796750363002</v>
      </c>
      <c r="O604" s="101">
        <f ca="1">Tabelle3!K$32</f>
        <v>0.13490705097827441</v>
      </c>
      <c r="P604" s="101">
        <f ca="1">Tabelle3!L$32</f>
        <v>0.12627490200952873</v>
      </c>
      <c r="Q604" s="101">
        <f ca="1">Tabelle3!M$32</f>
        <v>0.11997595457022844</v>
      </c>
      <c r="R604" s="101">
        <f ca="1">Tabelle3!N$32</f>
        <v>0.1156484334287244</v>
      </c>
      <c r="S604" s="101">
        <f ca="1">Tabelle3!O$32</f>
        <v>0.11396706749006169</v>
      </c>
      <c r="T604" s="101">
        <f ca="1">Tabelle3!P$32</f>
        <v>0.11396706749006169</v>
      </c>
      <c r="U604" s="101">
        <f ca="1">Tabelle3!Q$32</f>
        <v>0.1156484334287244</v>
      </c>
      <c r="V604" s="101">
        <f ca="1">Tabelle3!R$32</f>
        <v>0.11997595457022844</v>
      </c>
      <c r="W604" s="101">
        <f ca="1">Tabelle3!S$32</f>
        <v>0.12627490200952873</v>
      </c>
      <c r="X604" s="101">
        <f ca="1">Tabelle3!T$32</f>
        <v>0.13490705097827441</v>
      </c>
      <c r="Y604" s="101">
        <f ca="1">Tabelle3!U$32</f>
        <v>0.1518796750363002</v>
      </c>
      <c r="Z604" s="101">
        <f ca="1">Tabelle3!V$32</f>
        <v>0.17133609773696387</v>
      </c>
      <c r="AA604" s="101">
        <f ca="1">Tabelle3!W$32</f>
        <v>0.19845314300821337</v>
      </c>
      <c r="AB604" s="101">
        <f ca="1">Tabelle3!X$32</f>
        <v>0.23936987823639261</v>
      </c>
      <c r="AC604" s="101">
        <f ca="1">Tabelle3!Y$32</f>
        <v>0.31800702069231457</v>
      </c>
      <c r="AD604" s="101">
        <f ca="1">Tabelle3!Z$32</f>
        <v>0.46005552885710188</v>
      </c>
      <c r="AE604" s="101">
        <f ca="1">Tabelle3!AA$32</f>
        <v>0.84468093560230861</v>
      </c>
      <c r="AF604" s="55"/>
    </row>
    <row r="605" spans="1:33" s="27" customFormat="1">
      <c r="A605" s="27" t="s">
        <v>830</v>
      </c>
      <c r="F605" s="10">
        <f ca="1">Tabelle3!N$80</f>
        <v>1.9907587298357079</v>
      </c>
      <c r="H605" s="107">
        <f ca="1">$F$11*$F$142</f>
        <v>9.9537936491785398E-2</v>
      </c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55"/>
    </row>
    <row r="606" spans="1:33" ht="15" customHeight="1">
      <c r="A606" s="3" t="s">
        <v>831</v>
      </c>
      <c r="B606" s="11"/>
      <c r="C606" s="11"/>
      <c r="D606" s="11"/>
      <c r="E606" s="27"/>
      <c r="F606" s="6"/>
      <c r="G606" s="19">
        <f>SUM(H606:AE606)/48</f>
        <v>15.127527935527652</v>
      </c>
      <c r="H606" s="24">
        <f>H$67*H$604*$F$16</f>
        <v>15.81808414260925</v>
      </c>
      <c r="I606" s="24">
        <f t="shared" ref="I606:AE606" si="180">I$67*I$604*$F$16</f>
        <v>25.874788770250646</v>
      </c>
      <c r="J606" s="24">
        <f t="shared" si="180"/>
        <v>29.536422718071154</v>
      </c>
      <c r="K606" s="24">
        <f t="shared" si="180"/>
        <v>30.601227211238768</v>
      </c>
      <c r="L606" s="24">
        <f t="shared" si="180"/>
        <v>31.872305762806825</v>
      </c>
      <c r="M606" s="24">
        <f t="shared" si="180"/>
        <v>32.652524434856339</v>
      </c>
      <c r="N606" s="24">
        <f t="shared" si="180"/>
        <v>33.008039274385908</v>
      </c>
      <c r="O606" s="24">
        <f t="shared" si="180"/>
        <v>32.427890802296524</v>
      </c>
      <c r="P606" s="24">
        <f t="shared" si="180"/>
        <v>32.750442028542345</v>
      </c>
      <c r="Q606" s="24">
        <f t="shared" si="180"/>
        <v>32.843162671868164</v>
      </c>
      <c r="R606" s="24">
        <f t="shared" si="180"/>
        <v>32.792272810200956</v>
      </c>
      <c r="S606" s="24">
        <f t="shared" si="180"/>
        <v>32.88350982553667</v>
      </c>
      <c r="T606" s="24">
        <f t="shared" si="180"/>
        <v>32.88350982553667</v>
      </c>
      <c r="U606" s="24">
        <f t="shared" si="180"/>
        <v>32.792272810200956</v>
      </c>
      <c r="V606" s="24">
        <f t="shared" si="180"/>
        <v>32.843162671868164</v>
      </c>
      <c r="W606" s="24">
        <f t="shared" si="180"/>
        <v>32.750442028542345</v>
      </c>
      <c r="X606" s="24">
        <f t="shared" si="180"/>
        <v>32.427890802296524</v>
      </c>
      <c r="Y606" s="24">
        <f t="shared" si="180"/>
        <v>33.008039274385908</v>
      </c>
      <c r="Z606" s="24">
        <f t="shared" si="180"/>
        <v>32.652524434856339</v>
      </c>
      <c r="AA606" s="24">
        <f t="shared" si="180"/>
        <v>31.872305762806825</v>
      </c>
      <c r="AB606" s="24">
        <f t="shared" si="180"/>
        <v>30.601227211238768</v>
      </c>
      <c r="AC606" s="24">
        <f t="shared" si="180"/>
        <v>29.536422718071154</v>
      </c>
      <c r="AD606" s="24">
        <f t="shared" si="180"/>
        <v>25.874788770250646</v>
      </c>
      <c r="AE606" s="24">
        <f t="shared" si="180"/>
        <v>15.81808414260925</v>
      </c>
      <c r="AF606" s="28"/>
      <c r="AG606" s="11"/>
    </row>
    <row r="607" spans="1:33">
      <c r="A607" s="3"/>
      <c r="B607" s="5" t="s">
        <v>1109</v>
      </c>
      <c r="C607" s="11"/>
      <c r="D607" t="s">
        <v>61</v>
      </c>
      <c r="F607" s="27"/>
      <c r="G607" t="s">
        <v>854</v>
      </c>
      <c r="I607" s="2"/>
      <c r="K607" s="2"/>
      <c r="M607" s="2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11"/>
    </row>
    <row r="608" spans="1:33">
      <c r="A608" s="3"/>
      <c r="C608" s="11"/>
      <c r="D608" s="2" t="s">
        <v>1110</v>
      </c>
      <c r="F608" s="27"/>
      <c r="G608" s="2"/>
      <c r="I608" s="2"/>
      <c r="K608" s="2"/>
      <c r="M608" s="2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11"/>
    </row>
    <row r="609" spans="1:33">
      <c r="A609" t="s">
        <v>879</v>
      </c>
      <c r="C609" s="11"/>
      <c r="G609" s="98">
        <f>SUM(H609:AE609)/48</f>
        <v>168.71696820204014</v>
      </c>
      <c r="H609" s="97">
        <f>H$67*(1-($F$16+$F$13)*H$604)</f>
        <v>21.318948647873039</v>
      </c>
      <c r="I609" s="97">
        <f>I$67*(1-($F$16+$F$13)*I$604)</f>
        <v>86.093218387133263</v>
      </c>
      <c r="J609" s="97">
        <f t="shared" ref="J609:AE609" si="181">J$67*(1-($F$16+$F$13)*J$604)</f>
        <v>155.63241258668901</v>
      </c>
      <c r="K609" s="97">
        <f t="shared" si="181"/>
        <v>224.46826871569746</v>
      </c>
      <c r="L609" s="97">
        <f t="shared" si="181"/>
        <v>288.69761505678804</v>
      </c>
      <c r="M609" s="97">
        <f t="shared" si="181"/>
        <v>347.84614810663572</v>
      </c>
      <c r="N609" s="97">
        <f t="shared" si="181"/>
        <v>400.99218838903209</v>
      </c>
      <c r="O609" s="97">
        <f t="shared" si="181"/>
        <v>447.66774624985243</v>
      </c>
      <c r="P609" s="97">
        <f t="shared" si="181"/>
        <v>485.31111920703677</v>
      </c>
      <c r="Q609" s="97">
        <f t="shared" si="181"/>
        <v>513.99572502774527</v>
      </c>
      <c r="R609" s="97">
        <f t="shared" si="181"/>
        <v>533.6546402921233</v>
      </c>
      <c r="S609" s="97">
        <f t="shared" si="181"/>
        <v>543.52920618235714</v>
      </c>
      <c r="T609" s="97">
        <f t="shared" si="181"/>
        <v>543.52920618235714</v>
      </c>
      <c r="U609" s="97">
        <f t="shared" si="181"/>
        <v>533.6546402921233</v>
      </c>
      <c r="V609" s="97">
        <f t="shared" si="181"/>
        <v>513.99572502774527</v>
      </c>
      <c r="W609" s="97">
        <f t="shared" si="181"/>
        <v>485.31111920703677</v>
      </c>
      <c r="X609" s="97">
        <f t="shared" si="181"/>
        <v>447.66774624985243</v>
      </c>
      <c r="Y609" s="97">
        <f t="shared" si="181"/>
        <v>400.99218838903209</v>
      </c>
      <c r="Z609" s="97">
        <f t="shared" si="181"/>
        <v>347.84614810663572</v>
      </c>
      <c r="AA609" s="97">
        <f t="shared" si="181"/>
        <v>288.69761505678804</v>
      </c>
      <c r="AB609" s="97">
        <f t="shared" si="181"/>
        <v>224.46826871569746</v>
      </c>
      <c r="AC609" s="97">
        <f t="shared" si="181"/>
        <v>155.63241258668901</v>
      </c>
      <c r="AD609" s="97">
        <f t="shared" si="181"/>
        <v>86.093218387133263</v>
      </c>
      <c r="AE609" s="97">
        <f t="shared" si="181"/>
        <v>21.318948647873039</v>
      </c>
      <c r="AF609" s="28"/>
      <c r="AG609" s="11"/>
    </row>
    <row r="610" spans="1:33">
      <c r="B610" s="24" t="s">
        <v>1111</v>
      </c>
      <c r="D610" s="2" t="s">
        <v>59</v>
      </c>
      <c r="E610" s="24" t="s">
        <v>900</v>
      </c>
      <c r="H610" t="s">
        <v>853</v>
      </c>
      <c r="AF610" s="28"/>
      <c r="AG610" s="11"/>
    </row>
    <row r="611" spans="1:33">
      <c r="A611" t="s">
        <v>832</v>
      </c>
      <c r="C611" s="11"/>
      <c r="D611" s="24"/>
      <c r="G611" s="97">
        <f>SUM(H611:AE611)/48</f>
        <v>118.10187774142814</v>
      </c>
      <c r="H611" s="97">
        <f>H609*$S$20</f>
        <v>14.923264053511126</v>
      </c>
      <c r="I611" s="97">
        <f>I609*$S$20</f>
        <v>60.26525287099328</v>
      </c>
      <c r="J611" s="97">
        <f t="shared" ref="J611:AE611" si="182">J609*$S$20</f>
        <v>108.9426888106823</v>
      </c>
      <c r="K611" s="97">
        <f t="shared" si="182"/>
        <v>157.12778810098823</v>
      </c>
      <c r="L611" s="97">
        <f t="shared" si="182"/>
        <v>202.08833053975161</v>
      </c>
      <c r="M611" s="97">
        <f t="shared" si="182"/>
        <v>243.492303674645</v>
      </c>
      <c r="N611" s="97">
        <f t="shared" si="182"/>
        <v>280.69453187232244</v>
      </c>
      <c r="O611" s="97">
        <f t="shared" si="182"/>
        <v>313.36742237489671</v>
      </c>
      <c r="P611" s="97">
        <f t="shared" si="182"/>
        <v>339.71778344492571</v>
      </c>
      <c r="Q611" s="97">
        <f t="shared" si="182"/>
        <v>359.79700751942164</v>
      </c>
      <c r="R611" s="97">
        <f t="shared" si="182"/>
        <v>373.55824820448629</v>
      </c>
      <c r="S611" s="97">
        <f t="shared" si="182"/>
        <v>380.47044432765</v>
      </c>
      <c r="T611" s="97">
        <f t="shared" si="182"/>
        <v>380.47044432765</v>
      </c>
      <c r="U611" s="97">
        <f t="shared" si="182"/>
        <v>373.55824820448629</v>
      </c>
      <c r="V611" s="97">
        <f t="shared" si="182"/>
        <v>359.79700751942164</v>
      </c>
      <c r="W611" s="97">
        <f t="shared" si="182"/>
        <v>339.71778344492571</v>
      </c>
      <c r="X611" s="97">
        <f t="shared" si="182"/>
        <v>313.36742237489671</v>
      </c>
      <c r="Y611" s="97">
        <f t="shared" si="182"/>
        <v>280.69453187232244</v>
      </c>
      <c r="Z611" s="97">
        <f t="shared" si="182"/>
        <v>243.492303674645</v>
      </c>
      <c r="AA611" s="97">
        <f t="shared" si="182"/>
        <v>202.08833053975161</v>
      </c>
      <c r="AB611" s="97">
        <f t="shared" si="182"/>
        <v>157.12778810098823</v>
      </c>
      <c r="AC611" s="97">
        <f t="shared" si="182"/>
        <v>108.9426888106823</v>
      </c>
      <c r="AD611" s="97">
        <f t="shared" si="182"/>
        <v>60.26525287099328</v>
      </c>
      <c r="AE611" s="97">
        <f t="shared" si="182"/>
        <v>14.923264053511126</v>
      </c>
      <c r="AF611" s="28"/>
      <c r="AG611" s="11"/>
    </row>
    <row r="612" spans="1:33">
      <c r="B612" s="24" t="s">
        <v>912</v>
      </c>
      <c r="C612" s="14" t="s">
        <v>1114</v>
      </c>
      <c r="D612" s="24" t="s">
        <v>1115</v>
      </c>
      <c r="AF612" s="28"/>
      <c r="AG612" s="11"/>
    </row>
    <row r="613" spans="1:33">
      <c r="A613" s="20" t="s">
        <v>833</v>
      </c>
      <c r="B613" s="11"/>
      <c r="C613" s="11"/>
      <c r="D613" s="11"/>
      <c r="E613" s="27"/>
      <c r="F613" s="6"/>
      <c r="G613" s="19">
        <f>SUM(H613:AE613)/48</f>
        <v>112.10651296627276</v>
      </c>
      <c r="H613" s="24">
        <f>H611*(1-($F$16+$F$13)*$H$605)</f>
        <v>14.165694289610773</v>
      </c>
      <c r="I613" s="24">
        <f>I611*(1-($F$16+$F$13)*$H$605)</f>
        <v>57.205926625396778</v>
      </c>
      <c r="J613" s="24">
        <f t="shared" ref="J613:AE613" si="183">J611*(1-($F$16+$F$13)*$H$605)</f>
        <v>103.41228428624045</v>
      </c>
      <c r="K613" s="24">
        <f t="shared" si="183"/>
        <v>149.15129844651187</v>
      </c>
      <c r="L613" s="24">
        <f t="shared" si="183"/>
        <v>191.82944828014325</v>
      </c>
      <c r="M613" s="24">
        <f t="shared" si="183"/>
        <v>231.13157573034826</v>
      </c>
      <c r="N613" s="24">
        <f t="shared" si="183"/>
        <v>266.44525708390211</v>
      </c>
      <c r="O613" s="24">
        <f t="shared" si="183"/>
        <v>297.45952961555372</v>
      </c>
      <c r="P613" s="24">
        <f t="shared" si="183"/>
        <v>322.47223179655344</v>
      </c>
      <c r="Q613" s="24">
        <f t="shared" si="183"/>
        <v>341.53214716037627</v>
      </c>
      <c r="R613" s="24">
        <f t="shared" si="183"/>
        <v>354.59480743974825</v>
      </c>
      <c r="S613" s="24">
        <f t="shared" si="183"/>
        <v>361.15611043616161</v>
      </c>
      <c r="T613" s="24">
        <f t="shared" si="183"/>
        <v>361.15611043616161</v>
      </c>
      <c r="U613" s="24">
        <f t="shared" si="183"/>
        <v>354.59480743974825</v>
      </c>
      <c r="V613" s="24">
        <f t="shared" si="183"/>
        <v>341.53214716037627</v>
      </c>
      <c r="W613" s="24">
        <f t="shared" si="183"/>
        <v>322.47223179655344</v>
      </c>
      <c r="X613" s="24">
        <f t="shared" si="183"/>
        <v>297.45952961555372</v>
      </c>
      <c r="Y613" s="24">
        <f t="shared" si="183"/>
        <v>266.44525708390211</v>
      </c>
      <c r="Z613" s="24">
        <f t="shared" si="183"/>
        <v>231.13157573034826</v>
      </c>
      <c r="AA613" s="24">
        <f t="shared" si="183"/>
        <v>191.82944828014325</v>
      </c>
      <c r="AB613" s="24">
        <f t="shared" si="183"/>
        <v>149.15129844651187</v>
      </c>
      <c r="AC613" s="24">
        <f t="shared" si="183"/>
        <v>103.41228428624045</v>
      </c>
      <c r="AD613" s="24">
        <f t="shared" si="183"/>
        <v>57.205926625396778</v>
      </c>
      <c r="AE613" s="24">
        <f t="shared" si="183"/>
        <v>14.165694289610773</v>
      </c>
      <c r="AF613" s="28"/>
      <c r="AG613" s="11"/>
    </row>
    <row r="614" spans="1:33">
      <c r="A614" s="20"/>
      <c r="B614" s="24" t="s">
        <v>72</v>
      </c>
      <c r="C614" s="11"/>
      <c r="D614" t="s">
        <v>0</v>
      </c>
      <c r="G614" s="27"/>
      <c r="H614" s="24" t="s">
        <v>900</v>
      </c>
      <c r="K614" t="s">
        <v>853</v>
      </c>
      <c r="M614" s="28"/>
      <c r="O614" s="28"/>
      <c r="P614" s="28"/>
      <c r="Q614" s="11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11"/>
    </row>
    <row r="615" spans="1:33">
      <c r="A615" t="s">
        <v>834</v>
      </c>
      <c r="B615" s="5"/>
      <c r="C615" s="11"/>
      <c r="D615" s="5" t="s">
        <v>21</v>
      </c>
      <c r="F615" t="s">
        <v>10</v>
      </c>
      <c r="G615" s="97">
        <f>SUM(H615:AE615)/48</f>
        <v>5.8778086030934373</v>
      </c>
      <c r="H615" s="97">
        <f>H611*$H$605*$F$16</f>
        <v>0.74271545480426715</v>
      </c>
      <c r="I615" s="97">
        <f t="shared" ref="I615:AE615" si="184">I611*$H$605*$F$16</f>
        <v>2.9993394564671583</v>
      </c>
      <c r="J615" s="97">
        <f t="shared" si="184"/>
        <v>5.4219652200410176</v>
      </c>
      <c r="K615" s="97">
        <f t="shared" si="184"/>
        <v>7.8200878965454397</v>
      </c>
      <c r="L615" s="97">
        <f t="shared" si="184"/>
        <v>10.057727705498365</v>
      </c>
      <c r="M615" s="97">
        <f t="shared" si="184"/>
        <v>12.118360729702669</v>
      </c>
      <c r="N615" s="97">
        <f t="shared" si="184"/>
        <v>13.969877243549332</v>
      </c>
      <c r="O615" s="97">
        <f t="shared" si="184"/>
        <v>15.595973293473479</v>
      </c>
      <c r="P615" s="97">
        <f t="shared" si="184"/>
        <v>16.907403576835559</v>
      </c>
      <c r="Q615" s="97">
        <f t="shared" si="184"/>
        <v>17.906725842201311</v>
      </c>
      <c r="R615" s="97">
        <f t="shared" si="184"/>
        <v>18.59160859288038</v>
      </c>
      <c r="S615" s="97">
        <f t="shared" si="184"/>
        <v>18.9356214622435</v>
      </c>
      <c r="T615" s="97">
        <f t="shared" si="184"/>
        <v>18.9356214622435</v>
      </c>
      <c r="U615" s="97">
        <f t="shared" si="184"/>
        <v>18.59160859288038</v>
      </c>
      <c r="V615" s="97">
        <f t="shared" si="184"/>
        <v>17.906725842201311</v>
      </c>
      <c r="W615" s="97">
        <f t="shared" si="184"/>
        <v>16.907403576835559</v>
      </c>
      <c r="X615" s="97">
        <f t="shared" si="184"/>
        <v>15.595973293473479</v>
      </c>
      <c r="Y615" s="97">
        <f t="shared" si="184"/>
        <v>13.969877243549332</v>
      </c>
      <c r="Z615" s="97">
        <f t="shared" si="184"/>
        <v>12.118360729702669</v>
      </c>
      <c r="AA615" s="97">
        <f t="shared" si="184"/>
        <v>10.057727705498365</v>
      </c>
      <c r="AB615" s="97">
        <f t="shared" si="184"/>
        <v>7.8200878965454397</v>
      </c>
      <c r="AC615" s="97">
        <f t="shared" si="184"/>
        <v>5.4219652200410176</v>
      </c>
      <c r="AD615" s="97">
        <f t="shared" si="184"/>
        <v>2.9993394564671583</v>
      </c>
      <c r="AE615" s="97">
        <f t="shared" si="184"/>
        <v>0.74271545480426715</v>
      </c>
      <c r="AF615" s="28"/>
      <c r="AG615" s="11"/>
    </row>
    <row r="616" spans="1:33">
      <c r="A616" t="s">
        <v>909</v>
      </c>
      <c r="B616" s="5"/>
      <c r="C616" s="11"/>
      <c r="D616" s="5" t="s">
        <v>11</v>
      </c>
      <c r="G616" s="97">
        <f>SUM(H616:AE616)/48</f>
        <v>4.1144660221654048</v>
      </c>
      <c r="H616" s="97">
        <f>H615*$S$20</f>
        <v>0.51990081836298696</v>
      </c>
      <c r="I616" s="97">
        <f t="shared" ref="I616:AE616" si="185">I615*$S$20</f>
        <v>2.0995376195270108</v>
      </c>
      <c r="J616" s="97">
        <f t="shared" si="185"/>
        <v>3.795375654028712</v>
      </c>
      <c r="K616" s="97">
        <f t="shared" si="185"/>
        <v>5.4740615275818074</v>
      </c>
      <c r="L616" s="97">
        <f t="shared" si="185"/>
        <v>7.0404093938488552</v>
      </c>
      <c r="M616" s="97">
        <f t="shared" si="185"/>
        <v>8.4828525107918669</v>
      </c>
      <c r="N616" s="97">
        <f t="shared" si="185"/>
        <v>9.7789140704845323</v>
      </c>
      <c r="O616" s="97">
        <f t="shared" si="185"/>
        <v>10.917181305431434</v>
      </c>
      <c r="P616" s="97">
        <f t="shared" si="185"/>
        <v>11.835182503784891</v>
      </c>
      <c r="Q616" s="97">
        <f t="shared" si="185"/>
        <v>12.534708089540917</v>
      </c>
      <c r="R616" s="97">
        <f t="shared" si="185"/>
        <v>13.014126015016265</v>
      </c>
      <c r="S616" s="97">
        <f t="shared" si="185"/>
        <v>13.254935023570448</v>
      </c>
      <c r="T616" s="97">
        <f t="shared" si="185"/>
        <v>13.254935023570448</v>
      </c>
      <c r="U616" s="97">
        <f t="shared" si="185"/>
        <v>13.014126015016265</v>
      </c>
      <c r="V616" s="97">
        <f t="shared" si="185"/>
        <v>12.534708089540917</v>
      </c>
      <c r="W616" s="97">
        <f t="shared" si="185"/>
        <v>11.835182503784891</v>
      </c>
      <c r="X616" s="97">
        <f t="shared" si="185"/>
        <v>10.917181305431434</v>
      </c>
      <c r="Y616" s="97">
        <f t="shared" si="185"/>
        <v>9.7789140704845323</v>
      </c>
      <c r="Z616" s="97">
        <f t="shared" si="185"/>
        <v>8.4828525107918669</v>
      </c>
      <c r="AA616" s="97">
        <f t="shared" si="185"/>
        <v>7.0404093938488552</v>
      </c>
      <c r="AB616" s="97">
        <f t="shared" si="185"/>
        <v>5.4740615275818074</v>
      </c>
      <c r="AC616" s="97">
        <f t="shared" si="185"/>
        <v>3.795375654028712</v>
      </c>
      <c r="AD616" s="97">
        <f t="shared" si="185"/>
        <v>2.0995376195270108</v>
      </c>
      <c r="AE616" s="97">
        <f t="shared" si="185"/>
        <v>0.51990081836298696</v>
      </c>
      <c r="AF616" s="28"/>
      <c r="AG616" s="11"/>
    </row>
    <row r="617" spans="1:33">
      <c r="A617" s="20" t="s">
        <v>835</v>
      </c>
      <c r="B617" s="5"/>
      <c r="C617" s="11"/>
      <c r="G617" s="19">
        <f>SUM(H617:AE617)/48</f>
        <v>3.9055978387833323</v>
      </c>
      <c r="H617" s="24">
        <f>H616*(1-($F$16+$F$13)*$H$605)</f>
        <v>0.49350839249646339</v>
      </c>
      <c r="I617" s="24">
        <f t="shared" ref="I617:AE617" si="186">I616*(1-($F$16+$F$13)*$H$605)</f>
        <v>1.9929559619873678</v>
      </c>
      <c r="J617" s="24">
        <f t="shared" si="186"/>
        <v>3.6027058850139908</v>
      </c>
      <c r="K617" s="24">
        <f t="shared" si="186"/>
        <v>5.1961743653526797</v>
      </c>
      <c r="L617" s="24">
        <f t="shared" si="186"/>
        <v>6.6830076040570958</v>
      </c>
      <c r="M617" s="24">
        <f t="shared" si="186"/>
        <v>8.0522260372027912</v>
      </c>
      <c r="N617" s="24">
        <f t="shared" si="186"/>
        <v>9.2824938773542094</v>
      </c>
      <c r="O617" s="24">
        <f t="shared" si="186"/>
        <v>10.362977718712269</v>
      </c>
      <c r="P617" s="24">
        <f t="shared" si="186"/>
        <v>11.234377185125371</v>
      </c>
      <c r="Q617" s="24">
        <f t="shared" si="186"/>
        <v>11.898391810883423</v>
      </c>
      <c r="R617" s="24">
        <f t="shared" si="186"/>
        <v>12.353472398139086</v>
      </c>
      <c r="S617" s="24">
        <f t="shared" si="186"/>
        <v>12.58205689447521</v>
      </c>
      <c r="T617" s="24">
        <f t="shared" si="186"/>
        <v>12.58205689447521</v>
      </c>
      <c r="U617" s="24">
        <f t="shared" si="186"/>
        <v>12.353472398139086</v>
      </c>
      <c r="V617" s="24">
        <f t="shared" si="186"/>
        <v>11.898391810883423</v>
      </c>
      <c r="W617" s="24">
        <f t="shared" si="186"/>
        <v>11.234377185125371</v>
      </c>
      <c r="X617" s="24">
        <f t="shared" si="186"/>
        <v>10.362977718712269</v>
      </c>
      <c r="Y617" s="24">
        <f t="shared" si="186"/>
        <v>9.2824938773542094</v>
      </c>
      <c r="Z617" s="24">
        <f t="shared" si="186"/>
        <v>8.0522260372027912</v>
      </c>
      <c r="AA617" s="24">
        <f t="shared" si="186"/>
        <v>6.6830076040570958</v>
      </c>
      <c r="AB617" s="24">
        <f t="shared" si="186"/>
        <v>5.1961743653526797</v>
      </c>
      <c r="AC617" s="24">
        <f t="shared" si="186"/>
        <v>3.6027058850139908</v>
      </c>
      <c r="AD617" s="24">
        <f t="shared" si="186"/>
        <v>1.9929559619873678</v>
      </c>
      <c r="AE617" s="24">
        <f t="shared" si="186"/>
        <v>0.49350839249646339</v>
      </c>
      <c r="AF617" s="28"/>
      <c r="AG617" s="11"/>
    </row>
    <row r="618" spans="1:33">
      <c r="A618" s="20"/>
      <c r="B618" s="24" t="s">
        <v>13</v>
      </c>
      <c r="C618" s="11"/>
      <c r="D618" t="s">
        <v>0</v>
      </c>
      <c r="G618" s="27"/>
      <c r="H618" s="24" t="s">
        <v>900</v>
      </c>
      <c r="K618" t="s">
        <v>853</v>
      </c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8"/>
      <c r="AG618" s="11"/>
    </row>
    <row r="619" spans="1:33">
      <c r="A619" s="100" t="s">
        <v>836</v>
      </c>
      <c r="B619" s="5"/>
      <c r="C619" s="11"/>
      <c r="G619" s="19">
        <f>SUM(H619:AE619)/48</f>
        <v>0.13606430237374431</v>
      </c>
      <c r="H619" s="2">
        <f>H617^2/H613</f>
        <v>1.7192982460666622E-2</v>
      </c>
      <c r="I619" s="2">
        <f t="shared" ref="I619:AE619" si="187">I617^2/I613</f>
        <v>6.9431153391328285E-2</v>
      </c>
      <c r="J619" s="2">
        <f t="shared" si="187"/>
        <v>0.12551206835338646</v>
      </c>
      <c r="K619" s="2">
        <f t="shared" si="187"/>
        <v>0.1810257658925514</v>
      </c>
      <c r="L619" s="2">
        <f t="shared" si="187"/>
        <v>0.23282447526336394</v>
      </c>
      <c r="M619" s="2">
        <f t="shared" si="187"/>
        <v>0.28052568736800726</v>
      </c>
      <c r="N619" s="2">
        <f t="shared" si="187"/>
        <v>0.32338610011731456</v>
      </c>
      <c r="O619" s="2">
        <f t="shared" si="187"/>
        <v>0.3610282963108391</v>
      </c>
      <c r="P619" s="2">
        <f t="shared" si="187"/>
        <v>0.39138635297222013</v>
      </c>
      <c r="Q619" s="2">
        <f t="shared" si="187"/>
        <v>0.41451947894913277</v>
      </c>
      <c r="R619" s="2">
        <f t="shared" si="187"/>
        <v>0.43037370285664728</v>
      </c>
      <c r="S619" s="2">
        <f t="shared" si="187"/>
        <v>0.43833719303440638</v>
      </c>
      <c r="T619" s="2">
        <f t="shared" si="187"/>
        <v>0.43833719303440638</v>
      </c>
      <c r="U619" s="2">
        <f t="shared" si="187"/>
        <v>0.43037370285664728</v>
      </c>
      <c r="V619" s="2">
        <f t="shared" si="187"/>
        <v>0.41451947894913277</v>
      </c>
      <c r="W619" s="2">
        <f t="shared" si="187"/>
        <v>0.39138635297222013</v>
      </c>
      <c r="X619" s="2">
        <f t="shared" si="187"/>
        <v>0.3610282963108391</v>
      </c>
      <c r="Y619" s="2">
        <f t="shared" si="187"/>
        <v>0.32338610011731456</v>
      </c>
      <c r="Z619" s="2">
        <f t="shared" si="187"/>
        <v>0.28052568736800726</v>
      </c>
      <c r="AA619" s="2">
        <f t="shared" si="187"/>
        <v>0.23282447526336394</v>
      </c>
      <c r="AB619" s="2">
        <f t="shared" si="187"/>
        <v>0.1810257658925514</v>
      </c>
      <c r="AC619" s="2">
        <f t="shared" si="187"/>
        <v>0.12551206835338646</v>
      </c>
      <c r="AD619" s="2">
        <f t="shared" si="187"/>
        <v>6.9431153391328285E-2</v>
      </c>
      <c r="AE619" s="2">
        <f t="shared" si="187"/>
        <v>1.7192982460666622E-2</v>
      </c>
      <c r="AF619" s="28"/>
      <c r="AG619" s="11"/>
    </row>
    <row r="620" spans="1:33">
      <c r="A620" s="100"/>
      <c r="B620" s="24" t="s">
        <v>14</v>
      </c>
      <c r="C620" s="11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8"/>
      <c r="AG620" s="11"/>
    </row>
    <row r="621" spans="1:33">
      <c r="A621" s="20" t="s">
        <v>837</v>
      </c>
      <c r="B621" s="11"/>
      <c r="C621" s="11"/>
      <c r="D621" s="11"/>
      <c r="E621" s="27"/>
      <c r="F621" s="6"/>
      <c r="G621" s="19">
        <f>SUM(H621:AE621)/24</f>
        <v>285.72612495136394</v>
      </c>
      <c r="H621" s="24">
        <f>$S$24*(1-$H$605*(1-$F$14))</f>
        <v>285.72612495136383</v>
      </c>
      <c r="I621" s="24">
        <f t="shared" ref="I621:AE621" si="188">$S$24*(1-$H$605*(1-$F$14))</f>
        <v>285.72612495136383</v>
      </c>
      <c r="J621" s="24">
        <f t="shared" si="188"/>
        <v>285.72612495136383</v>
      </c>
      <c r="K621" s="24">
        <f t="shared" si="188"/>
        <v>285.72612495136383</v>
      </c>
      <c r="L621" s="24">
        <f t="shared" si="188"/>
        <v>285.72612495136383</v>
      </c>
      <c r="M621" s="24">
        <f t="shared" si="188"/>
        <v>285.72612495136383</v>
      </c>
      <c r="N621" s="24">
        <f t="shared" si="188"/>
        <v>285.72612495136383</v>
      </c>
      <c r="O621" s="24">
        <f t="shared" si="188"/>
        <v>285.72612495136383</v>
      </c>
      <c r="P621" s="24">
        <f t="shared" si="188"/>
        <v>285.72612495136383</v>
      </c>
      <c r="Q621" s="24">
        <f t="shared" si="188"/>
        <v>285.72612495136383</v>
      </c>
      <c r="R621" s="24">
        <f t="shared" si="188"/>
        <v>285.72612495136383</v>
      </c>
      <c r="S621" s="24">
        <f t="shared" si="188"/>
        <v>285.72612495136383</v>
      </c>
      <c r="T621" s="24">
        <f t="shared" si="188"/>
        <v>285.72612495136383</v>
      </c>
      <c r="U621" s="24">
        <f t="shared" si="188"/>
        <v>285.72612495136383</v>
      </c>
      <c r="V621" s="24">
        <f t="shared" si="188"/>
        <v>285.72612495136383</v>
      </c>
      <c r="W621" s="24">
        <f t="shared" si="188"/>
        <v>285.72612495136383</v>
      </c>
      <c r="X621" s="24">
        <f t="shared" si="188"/>
        <v>285.72612495136383</v>
      </c>
      <c r="Y621" s="24">
        <f t="shared" si="188"/>
        <v>285.72612495136383</v>
      </c>
      <c r="Z621" s="24">
        <f t="shared" si="188"/>
        <v>285.72612495136383</v>
      </c>
      <c r="AA621" s="24">
        <f t="shared" si="188"/>
        <v>285.72612495136383</v>
      </c>
      <c r="AB621" s="24">
        <f t="shared" si="188"/>
        <v>285.72612495136383</v>
      </c>
      <c r="AC621" s="24">
        <f t="shared" si="188"/>
        <v>285.72612495136383</v>
      </c>
      <c r="AD621" s="24">
        <f t="shared" si="188"/>
        <v>285.72612495136383</v>
      </c>
      <c r="AE621" s="24">
        <f t="shared" si="188"/>
        <v>285.72612495136383</v>
      </c>
      <c r="AF621" s="28"/>
      <c r="AG621" s="11"/>
    </row>
    <row r="622" spans="1:33">
      <c r="A622" s="20"/>
      <c r="B622" s="5" t="s">
        <v>15</v>
      </c>
      <c r="C622" s="11"/>
      <c r="D622" t="s">
        <v>254</v>
      </c>
      <c r="E622" s="2"/>
      <c r="G622" t="s">
        <v>1</v>
      </c>
      <c r="I622" s="11"/>
      <c r="J622" s="28"/>
      <c r="K622" s="2" t="s">
        <v>844</v>
      </c>
      <c r="L622" s="12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11"/>
    </row>
    <row r="623" spans="1:33">
      <c r="A623" s="12" t="s">
        <v>573</v>
      </c>
      <c r="B623" t="s">
        <v>839</v>
      </c>
      <c r="E623" s="12"/>
      <c r="F623" s="6"/>
      <c r="G623" s="32"/>
      <c r="H623" s="3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3">
      <c r="A624" s="11"/>
      <c r="B624" s="14" t="s">
        <v>870</v>
      </c>
      <c r="E624" s="12"/>
      <c r="F624" s="6"/>
      <c r="G624" s="32"/>
      <c r="H624" s="3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3">
      <c r="A625" s="11"/>
      <c r="B625" s="14" t="s">
        <v>845</v>
      </c>
      <c r="E625" s="12"/>
      <c r="F625" s="6"/>
      <c r="G625" s="32"/>
      <c r="H625" s="3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3">
      <c r="A626" s="11"/>
      <c r="B626" s="14" t="s">
        <v>842</v>
      </c>
      <c r="E626" s="12"/>
      <c r="F626" s="6"/>
      <c r="G626" s="32"/>
      <c r="H626" s="3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3">
      <c r="A627" s="20" t="s">
        <v>914</v>
      </c>
      <c r="B627" s="11"/>
      <c r="C627" s="11"/>
      <c r="D627" s="11"/>
      <c r="E627" s="27"/>
      <c r="F627" s="6"/>
      <c r="G627" s="19">
        <f>SUM(H627:AE627)/24</f>
        <v>12.551783676120003</v>
      </c>
      <c r="H627" s="24">
        <f t="shared" ref="H627:AE627" si="189">$M$9*($F$9+273)^4*$F$11*$H$18</f>
        <v>12.551783676119999</v>
      </c>
      <c r="I627" s="24">
        <f t="shared" si="189"/>
        <v>12.551783676119999</v>
      </c>
      <c r="J627" s="24">
        <f t="shared" si="189"/>
        <v>12.551783676119999</v>
      </c>
      <c r="K627" s="24">
        <f t="shared" si="189"/>
        <v>12.551783676119999</v>
      </c>
      <c r="L627" s="24">
        <f t="shared" si="189"/>
        <v>12.551783676119999</v>
      </c>
      <c r="M627" s="24">
        <f t="shared" si="189"/>
        <v>12.551783676119999</v>
      </c>
      <c r="N627" s="24">
        <f t="shared" si="189"/>
        <v>12.551783676119999</v>
      </c>
      <c r="O627" s="24">
        <f t="shared" si="189"/>
        <v>12.551783676119999</v>
      </c>
      <c r="P627" s="24">
        <f t="shared" si="189"/>
        <v>12.551783676119999</v>
      </c>
      <c r="Q627" s="24">
        <f t="shared" si="189"/>
        <v>12.551783676119999</v>
      </c>
      <c r="R627" s="24">
        <f t="shared" si="189"/>
        <v>12.551783676119999</v>
      </c>
      <c r="S627" s="24">
        <f t="shared" si="189"/>
        <v>12.551783676119999</v>
      </c>
      <c r="T627" s="24">
        <f t="shared" si="189"/>
        <v>12.551783676119999</v>
      </c>
      <c r="U627" s="24">
        <f t="shared" si="189"/>
        <v>12.551783676119999</v>
      </c>
      <c r="V627" s="24">
        <f t="shared" si="189"/>
        <v>12.551783676119999</v>
      </c>
      <c r="W627" s="24">
        <f t="shared" si="189"/>
        <v>12.551783676119999</v>
      </c>
      <c r="X627" s="24">
        <f t="shared" si="189"/>
        <v>12.551783676119999</v>
      </c>
      <c r="Y627" s="24">
        <f t="shared" si="189"/>
        <v>12.551783676119999</v>
      </c>
      <c r="Z627" s="24">
        <f t="shared" si="189"/>
        <v>12.551783676119999</v>
      </c>
      <c r="AA627" s="24">
        <f t="shared" si="189"/>
        <v>12.551783676119999</v>
      </c>
      <c r="AB627" s="24">
        <f t="shared" si="189"/>
        <v>12.551783676119999</v>
      </c>
      <c r="AC627" s="24">
        <f t="shared" si="189"/>
        <v>12.551783676119999</v>
      </c>
      <c r="AD627" s="24">
        <f t="shared" si="189"/>
        <v>12.551783676119999</v>
      </c>
      <c r="AE627" s="24">
        <f t="shared" si="189"/>
        <v>12.551783676119999</v>
      </c>
      <c r="AF627" s="28"/>
      <c r="AG627" s="11"/>
    </row>
    <row r="628" spans="1:33">
      <c r="A628" s="20"/>
      <c r="B628" s="5" t="s">
        <v>272</v>
      </c>
      <c r="C628" s="11"/>
      <c r="D628" t="s">
        <v>743</v>
      </c>
      <c r="E628" s="27"/>
      <c r="F628" s="6"/>
      <c r="G628" s="28"/>
      <c r="H628" t="s">
        <v>717</v>
      </c>
      <c r="I628" s="29"/>
      <c r="J628" s="11"/>
      <c r="K628" s="2" t="s">
        <v>273</v>
      </c>
      <c r="L628" s="11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11"/>
    </row>
    <row r="629" spans="1:33">
      <c r="A629" s="20"/>
      <c r="B629" s="27" t="s">
        <v>925</v>
      </c>
      <c r="C629" s="11" t="s">
        <v>266</v>
      </c>
      <c r="E629" s="27"/>
      <c r="F629" s="6"/>
      <c r="G629" s="28"/>
      <c r="I629" s="29"/>
      <c r="J629" s="11"/>
      <c r="K629" s="2"/>
      <c r="L629" s="11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11"/>
    </row>
    <row r="630" spans="1:33">
      <c r="A630" s="20"/>
      <c r="B630" s="14"/>
      <c r="C630" t="s">
        <v>274</v>
      </c>
      <c r="E630" s="27"/>
      <c r="F630" s="6"/>
      <c r="G630" s="28"/>
      <c r="I630" s="29"/>
      <c r="J630" s="11"/>
      <c r="K630" s="2"/>
      <c r="L630" s="11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11"/>
    </row>
    <row r="631" spans="1:33">
      <c r="A631" s="20"/>
      <c r="B631" s="16" t="s">
        <v>332</v>
      </c>
      <c r="C631" s="11"/>
      <c r="D631" s="11"/>
      <c r="E631" s="27"/>
      <c r="F631" s="6"/>
      <c r="G631" s="32">
        <f>G606+G613+G617+G619+G621+G627</f>
        <v>429.5536116704414</v>
      </c>
      <c r="H631" s="33"/>
      <c r="I631" s="29"/>
      <c r="J631" s="28"/>
      <c r="K631" s="11"/>
      <c r="L631" s="11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11"/>
    </row>
    <row r="632" spans="1:33">
      <c r="A632" s="20"/>
      <c r="B632" s="16" t="s">
        <v>721</v>
      </c>
      <c r="G632" s="32">
        <f>G601-G631</f>
        <v>15.959915953953612</v>
      </c>
      <c r="H632" s="33"/>
      <c r="I632" s="8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3">
      <c r="A633" s="39" t="s">
        <v>510</v>
      </c>
      <c r="B633" s="16"/>
      <c r="G633" s="32"/>
      <c r="H633" s="3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3">
      <c r="A634" s="3" t="s">
        <v>771</v>
      </c>
      <c r="G634" t="s">
        <v>535</v>
      </c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3">
      <c r="A635" s="20" t="s">
        <v>873</v>
      </c>
      <c r="B635" s="11"/>
      <c r="C635" s="11"/>
      <c r="D635" s="11"/>
      <c r="E635" s="14" t="s">
        <v>563</v>
      </c>
      <c r="F635" s="31">
        <f>$F$15</f>
        <v>0.7</v>
      </c>
      <c r="G635" s="19">
        <f>SUM(H635:AE635)/48</f>
        <v>88.061962987635127</v>
      </c>
      <c r="H635" s="2">
        <f>H$67*H$27*$F$15</f>
        <v>0</v>
      </c>
      <c r="I635" s="2">
        <f t="shared" ref="I635:AE635" si="190">I$67*I$27*$F$15</f>
        <v>0</v>
      </c>
      <c r="J635" s="2">
        <f t="shared" si="190"/>
        <v>0</v>
      </c>
      <c r="K635" s="2">
        <f t="shared" si="190"/>
        <v>0</v>
      </c>
      <c r="L635" s="2">
        <f t="shared" si="190"/>
        <v>0</v>
      </c>
      <c r="M635" s="2">
        <f t="shared" si="190"/>
        <v>0</v>
      </c>
      <c r="N635" s="2">
        <f t="shared" si="190"/>
        <v>0</v>
      </c>
      <c r="O635" s="2">
        <f t="shared" si="190"/>
        <v>0</v>
      </c>
      <c r="P635" s="2">
        <f t="shared" si="190"/>
        <v>363.10159905330499</v>
      </c>
      <c r="Q635" s="2">
        <f t="shared" si="190"/>
        <v>383.24702566713552</v>
      </c>
      <c r="R635" s="2">
        <f t="shared" si="190"/>
        <v>396.97193099096972</v>
      </c>
      <c r="S635" s="2">
        <f t="shared" si="190"/>
        <v>403.94927034308319</v>
      </c>
      <c r="T635" s="2">
        <f t="shared" si="190"/>
        <v>403.94927034308319</v>
      </c>
      <c r="U635" s="2">
        <f t="shared" si="190"/>
        <v>396.97193099096972</v>
      </c>
      <c r="V635" s="2">
        <f t="shared" si="190"/>
        <v>383.24702566713552</v>
      </c>
      <c r="W635" s="2">
        <f t="shared" si="190"/>
        <v>363.10159905330499</v>
      </c>
      <c r="X635" s="2">
        <f t="shared" si="190"/>
        <v>336.52093640773637</v>
      </c>
      <c r="Y635" s="2">
        <f t="shared" si="190"/>
        <v>304.26227191423402</v>
      </c>
      <c r="Z635" s="2">
        <f t="shared" si="190"/>
        <v>266.80620612113245</v>
      </c>
      <c r="AA635" s="2">
        <f t="shared" si="190"/>
        <v>224.84515685439567</v>
      </c>
      <c r="AB635" s="2">
        <f t="shared" si="190"/>
        <v>0</v>
      </c>
      <c r="AC635" s="2">
        <f t="shared" si="190"/>
        <v>0</v>
      </c>
      <c r="AD635" s="2">
        <f t="shared" si="190"/>
        <v>0</v>
      </c>
      <c r="AE635" s="2">
        <f t="shared" si="190"/>
        <v>0</v>
      </c>
      <c r="AF635" s="2"/>
    </row>
    <row r="636" spans="1:33">
      <c r="A636" s="5"/>
      <c r="B636" s="5" t="s">
        <v>1107</v>
      </c>
      <c r="C636" s="11"/>
      <c r="D636" t="s">
        <v>18</v>
      </c>
      <c r="E636" s="12"/>
      <c r="F636" s="18"/>
      <c r="G636" s="19"/>
      <c r="H636" s="2" t="s">
        <v>860</v>
      </c>
      <c r="I636" s="2"/>
      <c r="J636" s="2" t="s">
        <v>861</v>
      </c>
      <c r="K636" s="26"/>
      <c r="L636" s="2"/>
      <c r="M636" s="2"/>
      <c r="N636" s="2"/>
      <c r="O636" s="26"/>
      <c r="P636" s="2"/>
      <c r="Q636" s="2"/>
      <c r="R636" s="26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3">
      <c r="A637" s="20" t="s">
        <v>874</v>
      </c>
      <c r="G637" s="19">
        <f>SUM(H637:AE637)/48</f>
        <v>41.061124607228827</v>
      </c>
      <c r="H637" s="2">
        <f>H$67*$S$20*H$28^2</f>
        <v>26.217376131334131</v>
      </c>
      <c r="I637" s="2">
        <f t="shared" ref="I637:AE637" si="191">I$67*$S$20*I$28^2</f>
        <v>78.739852052952244</v>
      </c>
      <c r="J637" s="2">
        <f t="shared" si="191"/>
        <v>130.03169463138511</v>
      </c>
      <c r="K637" s="2">
        <f t="shared" si="191"/>
        <v>178.97706432981269</v>
      </c>
      <c r="L637" s="2">
        <f t="shared" si="191"/>
        <v>224.84515685439567</v>
      </c>
      <c r="M637" s="2">
        <f t="shared" si="191"/>
        <v>266.80620612113245</v>
      </c>
      <c r="N637" s="2">
        <f t="shared" si="191"/>
        <v>304.26227191423402</v>
      </c>
      <c r="O637" s="2">
        <f t="shared" si="191"/>
        <v>336.52093640773637</v>
      </c>
      <c r="P637" s="2">
        <f t="shared" si="191"/>
        <v>0.90775399763326403</v>
      </c>
      <c r="Q637" s="2">
        <f t="shared" si="191"/>
        <v>0.95811756416784044</v>
      </c>
      <c r="R637" s="2">
        <f t="shared" si="191"/>
        <v>0.99242982747742603</v>
      </c>
      <c r="S637" s="2">
        <f t="shared" si="191"/>
        <v>1.0098731758577097</v>
      </c>
      <c r="T637" s="2">
        <f t="shared" si="191"/>
        <v>1.0098731758577097</v>
      </c>
      <c r="U637" s="2">
        <f t="shared" si="191"/>
        <v>0.99242982747742603</v>
      </c>
      <c r="V637" s="2">
        <f t="shared" si="191"/>
        <v>0.95811756416784044</v>
      </c>
      <c r="W637" s="2">
        <f t="shared" si="191"/>
        <v>0.90775399763326403</v>
      </c>
      <c r="X637" s="2">
        <f t="shared" si="191"/>
        <v>0.84130234101934243</v>
      </c>
      <c r="Y637" s="2">
        <f t="shared" si="191"/>
        <v>0.76065567978558635</v>
      </c>
      <c r="Z637" s="2">
        <f t="shared" si="191"/>
        <v>0.66701551530283232</v>
      </c>
      <c r="AA637" s="2">
        <f t="shared" si="191"/>
        <v>0.56211289213599014</v>
      </c>
      <c r="AB637" s="2">
        <f t="shared" si="191"/>
        <v>178.97706432981269</v>
      </c>
      <c r="AC637" s="2">
        <f t="shared" si="191"/>
        <v>130.03169463138511</v>
      </c>
      <c r="AD637" s="2">
        <f t="shared" si="191"/>
        <v>78.739852052952244</v>
      </c>
      <c r="AE637" s="2">
        <f t="shared" si="191"/>
        <v>26.217376131334131</v>
      </c>
      <c r="AF637" s="2"/>
    </row>
    <row r="638" spans="1:33">
      <c r="A638" s="16"/>
      <c r="B638" s="5" t="s">
        <v>12</v>
      </c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3">
      <c r="A639" s="20" t="s">
        <v>875</v>
      </c>
      <c r="E639" s="12"/>
      <c r="F639" s="6"/>
      <c r="G639" s="19">
        <f>(SUM(H639:AE639)+24*$S$24)/48</f>
        <v>237.45794620275001</v>
      </c>
      <c r="H639" s="2">
        <f>$S$24*(1-H$27)</f>
        <v>316.61059493700003</v>
      </c>
      <c r="I639" s="2">
        <f t="shared" ref="I639:AE639" si="192">$S$24*(1-I$27)</f>
        <v>316.61059493700003</v>
      </c>
      <c r="J639" s="2">
        <f t="shared" si="192"/>
        <v>316.61059493700003</v>
      </c>
      <c r="K639" s="2">
        <f t="shared" si="192"/>
        <v>316.61059493700003</v>
      </c>
      <c r="L639" s="2">
        <f t="shared" si="192"/>
        <v>316.61059493700003</v>
      </c>
      <c r="M639" s="2">
        <f t="shared" si="192"/>
        <v>316.61059493700003</v>
      </c>
      <c r="N639" s="2">
        <f t="shared" si="192"/>
        <v>316.61059493700003</v>
      </c>
      <c r="O639" s="2">
        <f t="shared" si="192"/>
        <v>316.61059493700003</v>
      </c>
      <c r="P639" s="2">
        <f t="shared" si="192"/>
        <v>0</v>
      </c>
      <c r="Q639" s="2">
        <f t="shared" si="192"/>
        <v>0</v>
      </c>
      <c r="R639" s="2">
        <f t="shared" si="192"/>
        <v>0</v>
      </c>
      <c r="S639" s="2">
        <f t="shared" si="192"/>
        <v>0</v>
      </c>
      <c r="T639" s="2">
        <f t="shared" si="192"/>
        <v>0</v>
      </c>
      <c r="U639" s="2">
        <f t="shared" si="192"/>
        <v>0</v>
      </c>
      <c r="V639" s="2">
        <f t="shared" si="192"/>
        <v>0</v>
      </c>
      <c r="W639" s="2">
        <f t="shared" si="192"/>
        <v>0</v>
      </c>
      <c r="X639" s="2">
        <f t="shared" si="192"/>
        <v>0</v>
      </c>
      <c r="Y639" s="2">
        <f t="shared" si="192"/>
        <v>0</v>
      </c>
      <c r="Z639" s="2">
        <f t="shared" si="192"/>
        <v>0</v>
      </c>
      <c r="AA639" s="2">
        <f t="shared" si="192"/>
        <v>0</v>
      </c>
      <c r="AB639" s="2">
        <f t="shared" si="192"/>
        <v>316.61059493700003</v>
      </c>
      <c r="AC639" s="2">
        <f t="shared" si="192"/>
        <v>316.61059493700003</v>
      </c>
      <c r="AD639" s="2">
        <f t="shared" si="192"/>
        <v>316.61059493700003</v>
      </c>
      <c r="AE639" s="2">
        <f t="shared" si="192"/>
        <v>316.61059493700003</v>
      </c>
      <c r="AF639" s="2"/>
    </row>
    <row r="640" spans="1:33">
      <c r="A640" s="20"/>
      <c r="C640" s="5" t="s">
        <v>16</v>
      </c>
      <c r="D640" t="s">
        <v>1102</v>
      </c>
      <c r="E640" s="12"/>
      <c r="F640" s="6"/>
      <c r="G640" s="19"/>
      <c r="H640" s="2" t="s">
        <v>860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3">
      <c r="A641" s="20" t="s">
        <v>876</v>
      </c>
      <c r="E641" s="12">
        <f>$F$7</f>
        <v>-5</v>
      </c>
      <c r="F641" s="6" t="s">
        <v>558</v>
      </c>
      <c r="G641" s="19">
        <f>SUM(H641:AE641)/48</f>
        <v>73.51128940800001</v>
      </c>
      <c r="H641" s="2">
        <f t="shared" ref="H641:AE641" si="193">$M$9*($F$7+273)^4*H$27</f>
        <v>0</v>
      </c>
      <c r="I641" s="2">
        <f t="shared" si="193"/>
        <v>0</v>
      </c>
      <c r="J641" s="2">
        <f t="shared" si="193"/>
        <v>0</v>
      </c>
      <c r="K641" s="2">
        <f t="shared" si="193"/>
        <v>0</v>
      </c>
      <c r="L641" s="2">
        <f t="shared" si="193"/>
        <v>0</v>
      </c>
      <c r="M641" s="2">
        <f t="shared" si="193"/>
        <v>0</v>
      </c>
      <c r="N641" s="2">
        <f t="shared" si="193"/>
        <v>0</v>
      </c>
      <c r="O641" s="2">
        <f t="shared" si="193"/>
        <v>0</v>
      </c>
      <c r="P641" s="2">
        <f t="shared" si="193"/>
        <v>294.04515763199998</v>
      </c>
      <c r="Q641" s="2">
        <f t="shared" si="193"/>
        <v>294.04515763199998</v>
      </c>
      <c r="R641" s="2">
        <f t="shared" si="193"/>
        <v>294.04515763199998</v>
      </c>
      <c r="S641" s="2">
        <f t="shared" si="193"/>
        <v>294.04515763199998</v>
      </c>
      <c r="T641" s="2">
        <f t="shared" si="193"/>
        <v>294.04515763199998</v>
      </c>
      <c r="U641" s="2">
        <f t="shared" si="193"/>
        <v>294.04515763199998</v>
      </c>
      <c r="V641" s="2">
        <f t="shared" si="193"/>
        <v>294.04515763199998</v>
      </c>
      <c r="W641" s="2">
        <f t="shared" si="193"/>
        <v>294.04515763199998</v>
      </c>
      <c r="X641" s="2">
        <f t="shared" si="193"/>
        <v>294.04515763199998</v>
      </c>
      <c r="Y641" s="2">
        <f t="shared" si="193"/>
        <v>294.04515763199998</v>
      </c>
      <c r="Z641" s="2">
        <f t="shared" si="193"/>
        <v>294.04515763199998</v>
      </c>
      <c r="AA641" s="2">
        <f t="shared" si="193"/>
        <v>294.04515763199998</v>
      </c>
      <c r="AB641" s="2">
        <f t="shared" si="193"/>
        <v>0</v>
      </c>
      <c r="AC641" s="2">
        <f t="shared" si="193"/>
        <v>0</v>
      </c>
      <c r="AD641" s="2">
        <f t="shared" si="193"/>
        <v>0</v>
      </c>
      <c r="AE641" s="2">
        <f t="shared" si="193"/>
        <v>0</v>
      </c>
      <c r="AF641" s="2"/>
    </row>
    <row r="642" spans="1:33">
      <c r="A642" s="20"/>
      <c r="B642" t="s">
        <v>865</v>
      </c>
      <c r="D642" t="s">
        <v>743</v>
      </c>
      <c r="E642" s="30"/>
      <c r="F642" s="6"/>
      <c r="G642" s="19"/>
      <c r="H642" t="s">
        <v>617</v>
      </c>
      <c r="I642" s="2"/>
      <c r="K642" s="2" t="s">
        <v>860</v>
      </c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3">
      <c r="A643" s="20"/>
      <c r="B643" s="16" t="s">
        <v>724</v>
      </c>
      <c r="E643" s="30"/>
      <c r="F643" s="6"/>
      <c r="G643" s="32">
        <f>G635+G637+G639+G641</f>
        <v>440.09232320561398</v>
      </c>
      <c r="H643" s="3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3">
      <c r="A644" s="39" t="s">
        <v>510</v>
      </c>
      <c r="B644" s="16"/>
      <c r="E644" s="30"/>
      <c r="G644" s="32"/>
      <c r="H644" s="33"/>
      <c r="I644" s="3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3">
      <c r="A645" s="3" t="s">
        <v>327</v>
      </c>
      <c r="E645" s="12"/>
      <c r="F645" s="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3">
      <c r="A646" s="3" t="s">
        <v>877</v>
      </c>
      <c r="G646" s="19">
        <f>SUM(H646:AE646)/48</f>
        <v>15.127527935527652</v>
      </c>
      <c r="H646" s="24">
        <f>H$67*H$604*$F$16</f>
        <v>15.81808414260925</v>
      </c>
      <c r="I646" s="24">
        <f t="shared" ref="I646:AE646" si="194">I$67*I$604*$F$16</f>
        <v>25.874788770250646</v>
      </c>
      <c r="J646" s="24">
        <f t="shared" si="194"/>
        <v>29.536422718071154</v>
      </c>
      <c r="K646" s="24">
        <f t="shared" si="194"/>
        <v>30.601227211238768</v>
      </c>
      <c r="L646" s="24">
        <f t="shared" si="194"/>
        <v>31.872305762806825</v>
      </c>
      <c r="M646" s="24">
        <f t="shared" si="194"/>
        <v>32.652524434856339</v>
      </c>
      <c r="N646" s="24">
        <f t="shared" si="194"/>
        <v>33.008039274385908</v>
      </c>
      <c r="O646" s="24">
        <f t="shared" si="194"/>
        <v>32.427890802296524</v>
      </c>
      <c r="P646" s="24">
        <f t="shared" si="194"/>
        <v>32.750442028542345</v>
      </c>
      <c r="Q646" s="24">
        <f t="shared" si="194"/>
        <v>32.843162671868164</v>
      </c>
      <c r="R646" s="24">
        <f t="shared" si="194"/>
        <v>32.792272810200956</v>
      </c>
      <c r="S646" s="24">
        <f t="shared" si="194"/>
        <v>32.88350982553667</v>
      </c>
      <c r="T646" s="24">
        <f t="shared" si="194"/>
        <v>32.88350982553667</v>
      </c>
      <c r="U646" s="24">
        <f t="shared" si="194"/>
        <v>32.792272810200956</v>
      </c>
      <c r="V646" s="24">
        <f t="shared" si="194"/>
        <v>32.843162671868164</v>
      </c>
      <c r="W646" s="24">
        <f t="shared" si="194"/>
        <v>32.750442028542345</v>
      </c>
      <c r="X646" s="24">
        <f t="shared" si="194"/>
        <v>32.427890802296524</v>
      </c>
      <c r="Y646" s="24">
        <f t="shared" si="194"/>
        <v>33.008039274385908</v>
      </c>
      <c r="Z646" s="24">
        <f t="shared" si="194"/>
        <v>32.652524434856339</v>
      </c>
      <c r="AA646" s="24">
        <f t="shared" si="194"/>
        <v>31.872305762806825</v>
      </c>
      <c r="AB646" s="24">
        <f t="shared" si="194"/>
        <v>30.601227211238768</v>
      </c>
      <c r="AC646" s="24">
        <f t="shared" si="194"/>
        <v>29.536422718071154</v>
      </c>
      <c r="AD646" s="24">
        <f t="shared" si="194"/>
        <v>25.874788770250646</v>
      </c>
      <c r="AE646" s="24">
        <f t="shared" si="194"/>
        <v>15.81808414260925</v>
      </c>
      <c r="AF646" s="2"/>
    </row>
    <row r="647" spans="1:33">
      <c r="B647" s="5" t="s">
        <v>1109</v>
      </c>
      <c r="D647" t="s">
        <v>60</v>
      </c>
      <c r="H647" t="s">
        <v>866</v>
      </c>
      <c r="J647" s="2"/>
      <c r="K647" s="2"/>
      <c r="L647" t="s">
        <v>1112</v>
      </c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3">
      <c r="A648" t="s">
        <v>879</v>
      </c>
      <c r="C648" s="11"/>
      <c r="G648" s="98">
        <f>SUM(H648:AE648)/48</f>
        <v>168.71696820204014</v>
      </c>
      <c r="H648" s="97">
        <f>H$67*(1-($F$16+$F$13)*H$604)</f>
        <v>21.318948647873039</v>
      </c>
      <c r="I648" s="97">
        <f t="shared" ref="I648:AE648" si="195">I$67*(1-($F$16+$F$13)*I$604)</f>
        <v>86.093218387133263</v>
      </c>
      <c r="J648" s="97">
        <f t="shared" si="195"/>
        <v>155.63241258668901</v>
      </c>
      <c r="K648" s="97">
        <f t="shared" si="195"/>
        <v>224.46826871569746</v>
      </c>
      <c r="L648" s="97">
        <f t="shared" si="195"/>
        <v>288.69761505678804</v>
      </c>
      <c r="M648" s="97">
        <f t="shared" si="195"/>
        <v>347.84614810663572</v>
      </c>
      <c r="N648" s="97">
        <f t="shared" si="195"/>
        <v>400.99218838903209</v>
      </c>
      <c r="O648" s="97">
        <f t="shared" si="195"/>
        <v>447.66774624985243</v>
      </c>
      <c r="P648" s="97">
        <f t="shared" si="195"/>
        <v>485.31111920703677</v>
      </c>
      <c r="Q648" s="97">
        <f t="shared" si="195"/>
        <v>513.99572502774527</v>
      </c>
      <c r="R648" s="97">
        <f t="shared" si="195"/>
        <v>533.6546402921233</v>
      </c>
      <c r="S648" s="97">
        <f t="shared" si="195"/>
        <v>543.52920618235714</v>
      </c>
      <c r="T648" s="97">
        <f t="shared" si="195"/>
        <v>543.52920618235714</v>
      </c>
      <c r="U648" s="97">
        <f t="shared" si="195"/>
        <v>533.6546402921233</v>
      </c>
      <c r="V648" s="97">
        <f t="shared" si="195"/>
        <v>513.99572502774527</v>
      </c>
      <c r="W648" s="97">
        <f t="shared" si="195"/>
        <v>485.31111920703677</v>
      </c>
      <c r="X648" s="97">
        <f t="shared" si="195"/>
        <v>447.66774624985243</v>
      </c>
      <c r="Y648" s="97">
        <f t="shared" si="195"/>
        <v>400.99218838903209</v>
      </c>
      <c r="Z648" s="97">
        <f t="shared" si="195"/>
        <v>347.84614810663572</v>
      </c>
      <c r="AA648" s="97">
        <f t="shared" si="195"/>
        <v>288.69761505678804</v>
      </c>
      <c r="AB648" s="97">
        <f t="shared" si="195"/>
        <v>224.46826871569746</v>
      </c>
      <c r="AC648" s="97">
        <f t="shared" si="195"/>
        <v>155.63241258668901</v>
      </c>
      <c r="AD648" s="97">
        <f t="shared" si="195"/>
        <v>86.093218387133263</v>
      </c>
      <c r="AE648" s="97">
        <f t="shared" si="195"/>
        <v>21.318948647873039</v>
      </c>
      <c r="AF648" s="28"/>
      <c r="AG648" s="11"/>
    </row>
    <row r="649" spans="1:33">
      <c r="B649" s="24" t="s">
        <v>1111</v>
      </c>
      <c r="D649" s="2" t="s">
        <v>59</v>
      </c>
      <c r="E649" s="106" t="s">
        <v>970</v>
      </c>
      <c r="G649" t="s">
        <v>853</v>
      </c>
      <c r="I649" t="s">
        <v>1112</v>
      </c>
      <c r="AF649" s="28"/>
      <c r="AG649" s="11"/>
    </row>
    <row r="650" spans="1:33">
      <c r="A650" t="s">
        <v>878</v>
      </c>
      <c r="C650" s="11"/>
      <c r="D650" s="24"/>
      <c r="G650" s="97">
        <f>SUM(H650:AE650)/48</f>
        <v>118.10187774142814</v>
      </c>
      <c r="H650" s="97">
        <f>H648*($S$20*(1-H$27)+$F$15*H$27)</f>
        <v>14.923264053511126</v>
      </c>
      <c r="I650" s="97">
        <f t="shared" ref="I650:AE650" si="196">I648*($S$20*(1-I$27)+$F$15*I$27)</f>
        <v>60.26525287099328</v>
      </c>
      <c r="J650" s="97">
        <f t="shared" si="196"/>
        <v>108.9426888106823</v>
      </c>
      <c r="K650" s="97">
        <f t="shared" si="196"/>
        <v>157.12778810098823</v>
      </c>
      <c r="L650" s="97">
        <f t="shared" si="196"/>
        <v>202.08833053975161</v>
      </c>
      <c r="M650" s="97">
        <f t="shared" si="196"/>
        <v>243.492303674645</v>
      </c>
      <c r="N650" s="97">
        <f t="shared" si="196"/>
        <v>280.69453187232244</v>
      </c>
      <c r="O650" s="97">
        <f t="shared" si="196"/>
        <v>313.36742237489671</v>
      </c>
      <c r="P650" s="97">
        <f t="shared" si="196"/>
        <v>339.71778344492571</v>
      </c>
      <c r="Q650" s="97">
        <f t="shared" si="196"/>
        <v>359.79700751942164</v>
      </c>
      <c r="R650" s="97">
        <f t="shared" si="196"/>
        <v>373.55824820448629</v>
      </c>
      <c r="S650" s="97">
        <f t="shared" si="196"/>
        <v>380.47044432765</v>
      </c>
      <c r="T650" s="97">
        <f t="shared" si="196"/>
        <v>380.47044432765</v>
      </c>
      <c r="U650" s="97">
        <f t="shared" si="196"/>
        <v>373.55824820448629</v>
      </c>
      <c r="V650" s="97">
        <f t="shared" si="196"/>
        <v>359.79700751942164</v>
      </c>
      <c r="W650" s="97">
        <f t="shared" si="196"/>
        <v>339.71778344492571</v>
      </c>
      <c r="X650" s="97">
        <f t="shared" si="196"/>
        <v>313.36742237489671</v>
      </c>
      <c r="Y650" s="97">
        <f t="shared" si="196"/>
        <v>280.69453187232244</v>
      </c>
      <c r="Z650" s="97">
        <f t="shared" si="196"/>
        <v>243.492303674645</v>
      </c>
      <c r="AA650" s="97">
        <f t="shared" si="196"/>
        <v>202.08833053975161</v>
      </c>
      <c r="AB650" s="97">
        <f t="shared" si="196"/>
        <v>157.12778810098823</v>
      </c>
      <c r="AC650" s="97">
        <f t="shared" si="196"/>
        <v>108.9426888106823</v>
      </c>
      <c r="AD650" s="97">
        <f t="shared" si="196"/>
        <v>60.26525287099328</v>
      </c>
      <c r="AE650" s="97">
        <f t="shared" si="196"/>
        <v>14.923264053511126</v>
      </c>
      <c r="AF650" s="28"/>
      <c r="AG650" s="11"/>
    </row>
    <row r="651" spans="1:33">
      <c r="B651" s="24" t="s">
        <v>917</v>
      </c>
      <c r="D651" s="14" t="s">
        <v>1114</v>
      </c>
      <c r="G651" t="s">
        <v>888</v>
      </c>
      <c r="I651" s="24" t="s">
        <v>20</v>
      </c>
      <c r="M651" s="2" t="s">
        <v>860</v>
      </c>
      <c r="AF651" s="28"/>
      <c r="AG651" s="11"/>
    </row>
    <row r="652" spans="1:33" ht="18">
      <c r="A652" s="20" t="s">
        <v>881</v>
      </c>
      <c r="G652" s="19">
        <f>SUM(H652:AE652)/48</f>
        <v>78.240133559725265</v>
      </c>
      <c r="H652" s="2">
        <f>H$67*H$27*$F$15*(1-H$604*$F$16)*(1-$H$605*$F$16)</f>
        <v>0</v>
      </c>
      <c r="I652" s="2">
        <f t="shared" ref="I652:AE652" si="197">I$67*I$27*$F$15*(1-I$604*$F$16)*(1-$H$605*$F$16)</f>
        <v>0</v>
      </c>
      <c r="J652" s="2">
        <f t="shared" si="197"/>
        <v>0</v>
      </c>
      <c r="K652" s="2">
        <f t="shared" si="197"/>
        <v>0</v>
      </c>
      <c r="L652" s="2">
        <f t="shared" si="197"/>
        <v>0</v>
      </c>
      <c r="M652" s="2">
        <f t="shared" si="197"/>
        <v>0</v>
      </c>
      <c r="N652" s="2">
        <f t="shared" si="197"/>
        <v>0</v>
      </c>
      <c r="O652" s="2">
        <f t="shared" si="197"/>
        <v>0</v>
      </c>
      <c r="P652" s="2">
        <f t="shared" si="197"/>
        <v>323.24606667655877</v>
      </c>
      <c r="Q652" s="2">
        <f t="shared" si="197"/>
        <v>342.32720197014498</v>
      </c>
      <c r="R652" s="2">
        <f t="shared" si="197"/>
        <v>355.40288290476985</v>
      </c>
      <c r="S652" s="2">
        <f t="shared" si="197"/>
        <v>361.97227990597548</v>
      </c>
      <c r="T652" s="2">
        <f t="shared" si="197"/>
        <v>361.97227990597548</v>
      </c>
      <c r="U652" s="2">
        <f t="shared" si="197"/>
        <v>355.40288290476985</v>
      </c>
      <c r="V652" s="2">
        <f t="shared" si="197"/>
        <v>342.32720197014498</v>
      </c>
      <c r="W652" s="2">
        <f t="shared" si="197"/>
        <v>323.24606667655877</v>
      </c>
      <c r="X652" s="2">
        <f t="shared" si="197"/>
        <v>298.20284491530862</v>
      </c>
      <c r="Y652" s="2">
        <f t="shared" si="197"/>
        <v>267.16376831379546</v>
      </c>
      <c r="Z652" s="2">
        <f t="shared" si="197"/>
        <v>231.80832713270587</v>
      </c>
      <c r="AA652" s="2">
        <f t="shared" si="197"/>
        <v>192.45460759010447</v>
      </c>
      <c r="AB652" s="2">
        <f t="shared" si="197"/>
        <v>0</v>
      </c>
      <c r="AC652" s="2">
        <f t="shared" si="197"/>
        <v>0</v>
      </c>
      <c r="AD652" s="2">
        <f t="shared" si="197"/>
        <v>0</v>
      </c>
      <c r="AE652" s="2">
        <f t="shared" si="197"/>
        <v>0</v>
      </c>
      <c r="AF652" s="2"/>
    </row>
    <row r="653" spans="1:33">
      <c r="B653" s="5" t="s">
        <v>1107</v>
      </c>
      <c r="C653" s="11"/>
      <c r="D653" t="s">
        <v>776</v>
      </c>
      <c r="E653" s="12"/>
      <c r="F653" s="18"/>
      <c r="G653" s="2" t="s">
        <v>860</v>
      </c>
      <c r="I653" s="2" t="s">
        <v>867</v>
      </c>
      <c r="K653" s="9"/>
      <c r="AF653" s="2"/>
    </row>
    <row r="654" spans="1:33">
      <c r="A654" s="11" t="s">
        <v>568</v>
      </c>
      <c r="B654" t="s">
        <v>883</v>
      </c>
      <c r="C654" s="11"/>
      <c r="E654" s="12"/>
      <c r="F654" s="18"/>
      <c r="G654" s="2" t="s">
        <v>2</v>
      </c>
      <c r="H654" s="2"/>
      <c r="J654" t="s">
        <v>868</v>
      </c>
      <c r="AF654" s="2"/>
    </row>
    <row r="655" spans="1:33">
      <c r="A655" s="11"/>
      <c r="B655" t="s">
        <v>3</v>
      </c>
      <c r="C655" s="11"/>
      <c r="E655" s="12"/>
      <c r="F655" s="18"/>
      <c r="G655" s="19"/>
      <c r="I655" s="12" t="s">
        <v>858</v>
      </c>
      <c r="K655" s="11"/>
      <c r="AF655" s="2"/>
    </row>
    <row r="656" spans="1:33">
      <c r="A656" s="11"/>
      <c r="B656" s="2" t="s">
        <v>4</v>
      </c>
      <c r="C656" s="11"/>
      <c r="E656" s="12"/>
      <c r="F656" s="18"/>
      <c r="G656" s="19"/>
      <c r="H656" s="2"/>
      <c r="K656" s="11"/>
      <c r="L656" s="12"/>
      <c r="AF656" s="2"/>
    </row>
    <row r="657" spans="1:33" ht="18">
      <c r="A657" s="20" t="s">
        <v>882</v>
      </c>
      <c r="G657" s="19">
        <f>SUM(H657:AE657)/48</f>
        <v>34.380780963201623</v>
      </c>
      <c r="H657" s="2">
        <f>H$67*$S$20*H$28^2*(1-H$604*$F$16)*(1-$H$605*$F$16)</f>
        <v>14.390980280519729</v>
      </c>
      <c r="I657" s="2">
        <f t="shared" ref="I657:AE657" si="198">I$67*$S$20*I$28^2*(1-I$604*$F$16)*(1-$H$605*$F$16)</f>
        <v>57.610131795740173</v>
      </c>
      <c r="J657" s="2">
        <f t="shared" si="198"/>
        <v>103.91365354671333</v>
      </c>
      <c r="K657" s="2">
        <f t="shared" si="198"/>
        <v>149.71479550432505</v>
      </c>
      <c r="L657" s="2">
        <f t="shared" si="198"/>
        <v>192.45460759010447</v>
      </c>
      <c r="M657" s="2">
        <f t="shared" si="198"/>
        <v>231.80832713270587</v>
      </c>
      <c r="N657" s="2">
        <f t="shared" si="198"/>
        <v>267.16376831379546</v>
      </c>
      <c r="O657" s="2">
        <f t="shared" si="198"/>
        <v>298.20284491530862</v>
      </c>
      <c r="P657" s="2">
        <f t="shared" si="198"/>
        <v>0.80811516669139838</v>
      </c>
      <c r="Q657" s="2">
        <f t="shared" si="198"/>
        <v>0.85581800492536375</v>
      </c>
      <c r="R657" s="2">
        <f t="shared" si="198"/>
        <v>0.88850720726192622</v>
      </c>
      <c r="S657" s="2">
        <f t="shared" si="198"/>
        <v>0.90493069976494045</v>
      </c>
      <c r="T657" s="2">
        <f t="shared" si="198"/>
        <v>0.90493069976494045</v>
      </c>
      <c r="U657" s="2">
        <f t="shared" si="198"/>
        <v>0.88850720726192622</v>
      </c>
      <c r="V657" s="2">
        <f t="shared" si="198"/>
        <v>0.85581800492536375</v>
      </c>
      <c r="W657" s="2">
        <f t="shared" si="198"/>
        <v>0.80811516669139838</v>
      </c>
      <c r="X657" s="2">
        <f t="shared" si="198"/>
        <v>0.74550711228827293</v>
      </c>
      <c r="Y657" s="2">
        <f t="shared" si="198"/>
        <v>0.66790942078448978</v>
      </c>
      <c r="Z657" s="2">
        <f t="shared" si="198"/>
        <v>0.57952081783176579</v>
      </c>
      <c r="AA657" s="2">
        <f t="shared" si="198"/>
        <v>0.48113651897526194</v>
      </c>
      <c r="AB657" s="2">
        <f t="shared" si="198"/>
        <v>149.71479550432505</v>
      </c>
      <c r="AC657" s="2">
        <f t="shared" si="198"/>
        <v>103.91365354671333</v>
      </c>
      <c r="AD657" s="2">
        <f t="shared" si="198"/>
        <v>57.610131795740173</v>
      </c>
      <c r="AE657" s="2">
        <f t="shared" si="198"/>
        <v>14.390980280519729</v>
      </c>
      <c r="AF657" s="2"/>
    </row>
    <row r="658" spans="1:33">
      <c r="A658" s="14"/>
      <c r="B658" s="5" t="s">
        <v>12</v>
      </c>
      <c r="G658" s="2"/>
      <c r="H658" s="2"/>
      <c r="I658" s="2"/>
      <c r="J658" s="10"/>
      <c r="K658" s="9"/>
      <c r="AF658" s="2"/>
    </row>
    <row r="659" spans="1:33">
      <c r="A659" s="11" t="s">
        <v>568</v>
      </c>
      <c r="B659" t="s">
        <v>726</v>
      </c>
      <c r="C659" s="11"/>
      <c r="E659" s="12"/>
      <c r="F659" s="18"/>
      <c r="G659" s="2" t="s">
        <v>2</v>
      </c>
      <c r="H659" s="2"/>
      <c r="J659" s="11"/>
      <c r="K659" t="s">
        <v>868</v>
      </c>
      <c r="M659" s="10"/>
      <c r="N659" s="10"/>
      <c r="AF659" s="2"/>
    </row>
    <row r="660" spans="1:33">
      <c r="A660" s="11"/>
      <c r="B660" t="s">
        <v>3</v>
      </c>
      <c r="C660" s="11"/>
      <c r="E660" s="12"/>
      <c r="F660" s="18"/>
      <c r="G660" s="19"/>
      <c r="H660" s="2"/>
      <c r="J660" s="11"/>
      <c r="M660" s="10"/>
      <c r="N660" s="10"/>
      <c r="AF660" s="2"/>
    </row>
    <row r="661" spans="1:33">
      <c r="A661" t="s">
        <v>834</v>
      </c>
      <c r="B661" s="5"/>
      <c r="C661" s="11"/>
      <c r="D661" s="5" t="s">
        <v>21</v>
      </c>
      <c r="F661" t="s">
        <v>22</v>
      </c>
      <c r="G661" s="97">
        <f>SUM(H661:AE661)/48</f>
        <v>5.8778086030934373</v>
      </c>
      <c r="H661" s="97">
        <f>H650*$H$605*$F$16</f>
        <v>0.74271545480426715</v>
      </c>
      <c r="I661" s="97">
        <f t="shared" ref="I661:AE661" si="199">I650*$H$605*$F$16</f>
        <v>2.9993394564671583</v>
      </c>
      <c r="J661" s="97">
        <f t="shared" si="199"/>
        <v>5.4219652200410176</v>
      </c>
      <c r="K661" s="97">
        <f t="shared" si="199"/>
        <v>7.8200878965454397</v>
      </c>
      <c r="L661" s="97">
        <f t="shared" si="199"/>
        <v>10.057727705498365</v>
      </c>
      <c r="M661" s="97">
        <f t="shared" si="199"/>
        <v>12.118360729702669</v>
      </c>
      <c r="N661" s="97">
        <f t="shared" si="199"/>
        <v>13.969877243549332</v>
      </c>
      <c r="O661" s="97">
        <f t="shared" si="199"/>
        <v>15.595973293473479</v>
      </c>
      <c r="P661" s="97">
        <f t="shared" si="199"/>
        <v>16.907403576835559</v>
      </c>
      <c r="Q661" s="97">
        <f t="shared" si="199"/>
        <v>17.906725842201311</v>
      </c>
      <c r="R661" s="97">
        <f t="shared" si="199"/>
        <v>18.59160859288038</v>
      </c>
      <c r="S661" s="97">
        <f t="shared" si="199"/>
        <v>18.9356214622435</v>
      </c>
      <c r="T661" s="97">
        <f t="shared" si="199"/>
        <v>18.9356214622435</v>
      </c>
      <c r="U661" s="97">
        <f t="shared" si="199"/>
        <v>18.59160859288038</v>
      </c>
      <c r="V661" s="97">
        <f t="shared" si="199"/>
        <v>17.906725842201311</v>
      </c>
      <c r="W661" s="97">
        <f t="shared" si="199"/>
        <v>16.907403576835559</v>
      </c>
      <c r="X661" s="97">
        <f t="shared" si="199"/>
        <v>15.595973293473479</v>
      </c>
      <c r="Y661" s="97">
        <f t="shared" si="199"/>
        <v>13.969877243549332</v>
      </c>
      <c r="Z661" s="97">
        <f t="shared" si="199"/>
        <v>12.118360729702669</v>
      </c>
      <c r="AA661" s="97">
        <f t="shared" si="199"/>
        <v>10.057727705498365</v>
      </c>
      <c r="AB661" s="97">
        <f t="shared" si="199"/>
        <v>7.8200878965454397</v>
      </c>
      <c r="AC661" s="97">
        <f t="shared" si="199"/>
        <v>5.4219652200410176</v>
      </c>
      <c r="AD661" s="97">
        <f t="shared" si="199"/>
        <v>2.9993394564671583</v>
      </c>
      <c r="AE661" s="97">
        <f t="shared" si="199"/>
        <v>0.74271545480426715</v>
      </c>
      <c r="AF661" s="28"/>
      <c r="AG661" s="11"/>
    </row>
    <row r="662" spans="1:33">
      <c r="A662" t="s">
        <v>918</v>
      </c>
      <c r="B662" s="5"/>
      <c r="C662" s="11"/>
      <c r="D662" s="104" t="s">
        <v>24</v>
      </c>
      <c r="G662" s="97">
        <f>SUM(H662:AE662)/48</f>
        <v>4.1144660221654048</v>
      </c>
      <c r="H662" s="97">
        <f>H661*($S$20*(1-H$27)+$F$15*H$27)</f>
        <v>0.51990081836298696</v>
      </c>
      <c r="I662" s="97">
        <f t="shared" ref="I662:AE662" si="200">I661*($S$20*(1-I$27)+$F$15*I$27)</f>
        <v>2.0995376195270108</v>
      </c>
      <c r="J662" s="97">
        <f t="shared" si="200"/>
        <v>3.795375654028712</v>
      </c>
      <c r="K662" s="97">
        <f t="shared" si="200"/>
        <v>5.4740615275818074</v>
      </c>
      <c r="L662" s="97">
        <f t="shared" si="200"/>
        <v>7.0404093938488552</v>
      </c>
      <c r="M662" s="97">
        <f t="shared" si="200"/>
        <v>8.4828525107918669</v>
      </c>
      <c r="N662" s="97">
        <f t="shared" si="200"/>
        <v>9.7789140704845323</v>
      </c>
      <c r="O662" s="97">
        <f t="shared" si="200"/>
        <v>10.917181305431434</v>
      </c>
      <c r="P662" s="97">
        <f t="shared" si="200"/>
        <v>11.835182503784891</v>
      </c>
      <c r="Q662" s="97">
        <f t="shared" si="200"/>
        <v>12.534708089540917</v>
      </c>
      <c r="R662" s="97">
        <f t="shared" si="200"/>
        <v>13.014126015016265</v>
      </c>
      <c r="S662" s="97">
        <f t="shared" si="200"/>
        <v>13.254935023570448</v>
      </c>
      <c r="T662" s="97">
        <f t="shared" si="200"/>
        <v>13.254935023570448</v>
      </c>
      <c r="U662" s="97">
        <f t="shared" si="200"/>
        <v>13.014126015016265</v>
      </c>
      <c r="V662" s="97">
        <f t="shared" si="200"/>
        <v>12.534708089540917</v>
      </c>
      <c r="W662" s="97">
        <f t="shared" si="200"/>
        <v>11.835182503784891</v>
      </c>
      <c r="X662" s="97">
        <f t="shared" si="200"/>
        <v>10.917181305431434</v>
      </c>
      <c r="Y662" s="97">
        <f t="shared" si="200"/>
        <v>9.7789140704845323</v>
      </c>
      <c r="Z662" s="97">
        <f t="shared" si="200"/>
        <v>8.4828525107918669</v>
      </c>
      <c r="AA662" s="97">
        <f t="shared" si="200"/>
        <v>7.0404093938488552</v>
      </c>
      <c r="AB662" s="97">
        <f t="shared" si="200"/>
        <v>5.4740615275818074</v>
      </c>
      <c r="AC662" s="97">
        <f t="shared" si="200"/>
        <v>3.795375654028712</v>
      </c>
      <c r="AD662" s="97">
        <f t="shared" si="200"/>
        <v>2.0995376195270108</v>
      </c>
      <c r="AE662" s="97">
        <f t="shared" si="200"/>
        <v>0.51990081836298696</v>
      </c>
      <c r="AF662" s="28"/>
      <c r="AG662" s="11"/>
    </row>
    <row r="663" spans="1:33">
      <c r="A663" s="20" t="s">
        <v>835</v>
      </c>
      <c r="B663" s="5"/>
      <c r="C663" s="11"/>
      <c r="G663" s="19">
        <f>SUM(H663:AE663)/48</f>
        <v>3.9055978387833323</v>
      </c>
      <c r="H663" s="24">
        <f>H662*(1-($F$16+$F$13)*$H$605)</f>
        <v>0.49350839249646339</v>
      </c>
      <c r="I663" s="24">
        <f t="shared" ref="I663:AE663" si="201">I662*(1-($F$16+$F$13)*$H$605)</f>
        <v>1.9929559619873678</v>
      </c>
      <c r="J663" s="24">
        <f t="shared" si="201"/>
        <v>3.6027058850139908</v>
      </c>
      <c r="K663" s="24">
        <f t="shared" si="201"/>
        <v>5.1961743653526797</v>
      </c>
      <c r="L663" s="24">
        <f t="shared" si="201"/>
        <v>6.6830076040570958</v>
      </c>
      <c r="M663" s="24">
        <f t="shared" si="201"/>
        <v>8.0522260372027912</v>
      </c>
      <c r="N663" s="24">
        <f t="shared" si="201"/>
        <v>9.2824938773542094</v>
      </c>
      <c r="O663" s="24">
        <f t="shared" si="201"/>
        <v>10.362977718712269</v>
      </c>
      <c r="P663" s="24">
        <f t="shared" si="201"/>
        <v>11.234377185125371</v>
      </c>
      <c r="Q663" s="24">
        <f t="shared" si="201"/>
        <v>11.898391810883423</v>
      </c>
      <c r="R663" s="24">
        <f t="shared" si="201"/>
        <v>12.353472398139086</v>
      </c>
      <c r="S663" s="24">
        <f t="shared" si="201"/>
        <v>12.58205689447521</v>
      </c>
      <c r="T663" s="24">
        <f t="shared" si="201"/>
        <v>12.58205689447521</v>
      </c>
      <c r="U663" s="24">
        <f t="shared" si="201"/>
        <v>12.353472398139086</v>
      </c>
      <c r="V663" s="24">
        <f t="shared" si="201"/>
        <v>11.898391810883423</v>
      </c>
      <c r="W663" s="24">
        <f t="shared" si="201"/>
        <v>11.234377185125371</v>
      </c>
      <c r="X663" s="24">
        <f t="shared" si="201"/>
        <v>10.362977718712269</v>
      </c>
      <c r="Y663" s="24">
        <f t="shared" si="201"/>
        <v>9.2824938773542094</v>
      </c>
      <c r="Z663" s="24">
        <f t="shared" si="201"/>
        <v>8.0522260372027912</v>
      </c>
      <c r="AA663" s="24">
        <f t="shared" si="201"/>
        <v>6.6830076040570958</v>
      </c>
      <c r="AB663" s="24">
        <f t="shared" si="201"/>
        <v>5.1961743653526797</v>
      </c>
      <c r="AC663" s="24">
        <f t="shared" si="201"/>
        <v>3.6027058850139908</v>
      </c>
      <c r="AD663" s="24">
        <f t="shared" si="201"/>
        <v>1.9929559619873678</v>
      </c>
      <c r="AE663" s="24">
        <f t="shared" si="201"/>
        <v>0.49350839249646339</v>
      </c>
      <c r="AF663" s="28"/>
      <c r="AG663" s="11"/>
    </row>
    <row r="664" spans="1:33">
      <c r="A664" s="20"/>
      <c r="B664" s="24" t="s">
        <v>25</v>
      </c>
      <c r="C664" s="11"/>
      <c r="G664" s="19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8"/>
      <c r="AG664" s="11"/>
    </row>
    <row r="665" spans="1:33">
      <c r="A665" s="100" t="s">
        <v>836</v>
      </c>
      <c r="B665" s="5"/>
      <c r="C665" s="11"/>
      <c r="G665" s="19">
        <f>SUM(H665:AE665)/48</f>
        <v>0.13544303329341129</v>
      </c>
      <c r="H665" s="2">
        <f>H663^2/(H652+H657)</f>
        <v>1.6923832061261607E-2</v>
      </c>
      <c r="I665" s="2">
        <f t="shared" ref="I665:AE665" si="202">I663^2/(I652+I657)</f>
        <v>6.8944009371537038E-2</v>
      </c>
      <c r="J665" s="2">
        <f t="shared" si="202"/>
        <v>0.12490648967586963</v>
      </c>
      <c r="K665" s="2">
        <f t="shared" si="202"/>
        <v>0.18034442049762761</v>
      </c>
      <c r="L665" s="2">
        <f t="shared" si="202"/>
        <v>0.23206818062266754</v>
      </c>
      <c r="M665" s="2">
        <f t="shared" si="202"/>
        <v>0.27970670836638167</v>
      </c>
      <c r="N665" s="2">
        <f t="shared" si="202"/>
        <v>0.32251638433963919</v>
      </c>
      <c r="O665" s="2">
        <f t="shared" si="202"/>
        <v>0.36012837915421869</v>
      </c>
      <c r="P665" s="2">
        <f t="shared" si="202"/>
        <v>0.38947570440154272</v>
      </c>
      <c r="Q665" s="2">
        <f t="shared" si="202"/>
        <v>0.41252544399073654</v>
      </c>
      <c r="R665" s="2">
        <f t="shared" si="202"/>
        <v>0.4283243562063016</v>
      </c>
      <c r="S665" s="2">
        <f t="shared" si="202"/>
        <v>0.43625819166640956</v>
      </c>
      <c r="T665" s="2">
        <f t="shared" si="202"/>
        <v>0.43625819166640956</v>
      </c>
      <c r="U665" s="2">
        <f t="shared" si="202"/>
        <v>0.4283243562063016</v>
      </c>
      <c r="V665" s="2">
        <f t="shared" si="202"/>
        <v>0.41252544399073654</v>
      </c>
      <c r="W665" s="2">
        <f t="shared" si="202"/>
        <v>0.38947570440154272</v>
      </c>
      <c r="X665" s="2">
        <f t="shared" si="202"/>
        <v>0.35923030339572937</v>
      </c>
      <c r="Y665" s="2">
        <f t="shared" si="202"/>
        <v>0.32171210407944062</v>
      </c>
      <c r="Z665" s="2">
        <f t="shared" si="202"/>
        <v>0.2790091854028745</v>
      </c>
      <c r="AA665" s="2">
        <f t="shared" si="202"/>
        <v>0.231489456980217</v>
      </c>
      <c r="AB665" s="2">
        <f t="shared" si="202"/>
        <v>0.18034442049762761</v>
      </c>
      <c r="AC665" s="2">
        <f t="shared" si="202"/>
        <v>0.12490648967586963</v>
      </c>
      <c r="AD665" s="2">
        <f t="shared" si="202"/>
        <v>6.8944009371537038E-2</v>
      </c>
      <c r="AE665" s="2">
        <f t="shared" si="202"/>
        <v>1.6923832061261607E-2</v>
      </c>
      <c r="AF665" s="28"/>
      <c r="AG665" s="11"/>
    </row>
    <row r="666" spans="1:33" ht="18">
      <c r="A666" s="100"/>
      <c r="B666" s="24" t="s">
        <v>26</v>
      </c>
      <c r="C666" s="11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8"/>
      <c r="AG666" s="11"/>
    </row>
    <row r="667" spans="1:33" ht="18">
      <c r="A667" s="20" t="s">
        <v>890</v>
      </c>
      <c r="G667" s="19">
        <f>(SUM(H667:AE667)+24*$S$24*(1-$H$605))/48</f>
        <v>213.8218722341509</v>
      </c>
      <c r="H667" s="2">
        <f>$S$24*(1-H$27)*(1-$H$605)</f>
        <v>285.09582964553454</v>
      </c>
      <c r="I667" s="2">
        <f t="shared" ref="I667:AE667" si="203">$S$24*(1-I$27)*(1-$H$605)</f>
        <v>285.09582964553454</v>
      </c>
      <c r="J667" s="2">
        <f t="shared" si="203"/>
        <v>285.09582964553454</v>
      </c>
      <c r="K667" s="2">
        <f t="shared" si="203"/>
        <v>285.09582964553454</v>
      </c>
      <c r="L667" s="2">
        <f t="shared" si="203"/>
        <v>285.09582964553454</v>
      </c>
      <c r="M667" s="2">
        <f t="shared" si="203"/>
        <v>285.09582964553454</v>
      </c>
      <c r="N667" s="2">
        <f t="shared" si="203"/>
        <v>285.09582964553454</v>
      </c>
      <c r="O667" s="2">
        <f t="shared" si="203"/>
        <v>285.09582964553454</v>
      </c>
      <c r="P667" s="2">
        <f t="shared" si="203"/>
        <v>0</v>
      </c>
      <c r="Q667" s="2">
        <f t="shared" si="203"/>
        <v>0</v>
      </c>
      <c r="R667" s="2">
        <f t="shared" si="203"/>
        <v>0</v>
      </c>
      <c r="S667" s="2">
        <f t="shared" si="203"/>
        <v>0</v>
      </c>
      <c r="T667" s="2">
        <f t="shared" si="203"/>
        <v>0</v>
      </c>
      <c r="U667" s="2">
        <f t="shared" si="203"/>
        <v>0</v>
      </c>
      <c r="V667" s="2">
        <f t="shared" si="203"/>
        <v>0</v>
      </c>
      <c r="W667" s="2">
        <f t="shared" si="203"/>
        <v>0</v>
      </c>
      <c r="X667" s="2">
        <f t="shared" si="203"/>
        <v>0</v>
      </c>
      <c r="Y667" s="2">
        <f t="shared" si="203"/>
        <v>0</v>
      </c>
      <c r="Z667" s="2">
        <f t="shared" si="203"/>
        <v>0</v>
      </c>
      <c r="AA667" s="2">
        <f t="shared" si="203"/>
        <v>0</v>
      </c>
      <c r="AB667" s="2">
        <f t="shared" si="203"/>
        <v>285.09582964553454</v>
      </c>
      <c r="AC667" s="2">
        <f t="shared" si="203"/>
        <v>285.09582964553454</v>
      </c>
      <c r="AD667" s="2">
        <f t="shared" si="203"/>
        <v>285.09582964553454</v>
      </c>
      <c r="AE667" s="2">
        <f t="shared" si="203"/>
        <v>285.09582964553454</v>
      </c>
      <c r="AF667" s="2"/>
    </row>
    <row r="668" spans="1:33">
      <c r="A668" s="14"/>
      <c r="B668" s="5" t="s">
        <v>17</v>
      </c>
      <c r="D668" t="s">
        <v>27</v>
      </c>
      <c r="E668" s="12"/>
      <c r="F668" s="6"/>
      <c r="G668" s="2" t="s">
        <v>860</v>
      </c>
      <c r="I668" s="2" t="s">
        <v>5</v>
      </c>
      <c r="J668" s="10"/>
      <c r="K668" s="9"/>
      <c r="AF668" s="2"/>
    </row>
    <row r="669" spans="1:33" ht="18">
      <c r="A669" s="20" t="s">
        <v>891</v>
      </c>
      <c r="D669" s="105" t="s">
        <v>892</v>
      </c>
      <c r="E669">
        <f>$F$7</f>
        <v>-5</v>
      </c>
      <c r="F669" s="5" t="s">
        <v>893</v>
      </c>
      <c r="G669" s="19">
        <f>SUM(H669:AE669)/48</f>
        <v>66.194127351477249</v>
      </c>
      <c r="H669" s="2">
        <f>$M$9*($F$7+273)^4*H$27*(1-$H$605)</f>
        <v>0</v>
      </c>
      <c r="I669" s="2">
        <f t="shared" ref="I669:AE669" si="204">$M$9*($F$7+273)^4*I$27*(1-$H$605)</f>
        <v>0</v>
      </c>
      <c r="J669" s="2">
        <f t="shared" si="204"/>
        <v>0</v>
      </c>
      <c r="K669" s="2">
        <f t="shared" si="204"/>
        <v>0</v>
      </c>
      <c r="L669" s="2">
        <f t="shared" si="204"/>
        <v>0</v>
      </c>
      <c r="M669" s="2">
        <f t="shared" si="204"/>
        <v>0</v>
      </c>
      <c r="N669" s="2">
        <f t="shared" si="204"/>
        <v>0</v>
      </c>
      <c r="O669" s="2">
        <f t="shared" si="204"/>
        <v>0</v>
      </c>
      <c r="P669" s="2">
        <f t="shared" si="204"/>
        <v>264.77650940590894</v>
      </c>
      <c r="Q669" s="2">
        <f t="shared" si="204"/>
        <v>264.77650940590894</v>
      </c>
      <c r="R669" s="2">
        <f t="shared" si="204"/>
        <v>264.77650940590894</v>
      </c>
      <c r="S669" s="2">
        <f t="shared" si="204"/>
        <v>264.77650940590894</v>
      </c>
      <c r="T669" s="2">
        <f t="shared" si="204"/>
        <v>264.77650940590894</v>
      </c>
      <c r="U669" s="2">
        <f t="shared" si="204"/>
        <v>264.77650940590894</v>
      </c>
      <c r="V669" s="2">
        <f t="shared" si="204"/>
        <v>264.77650940590894</v>
      </c>
      <c r="W669" s="2">
        <f t="shared" si="204"/>
        <v>264.77650940590894</v>
      </c>
      <c r="X669" s="2">
        <f t="shared" si="204"/>
        <v>264.77650940590894</v>
      </c>
      <c r="Y669" s="2">
        <f t="shared" si="204"/>
        <v>264.77650940590894</v>
      </c>
      <c r="Z669" s="2">
        <f t="shared" si="204"/>
        <v>264.77650940590894</v>
      </c>
      <c r="AA669" s="2">
        <f t="shared" si="204"/>
        <v>264.77650940590894</v>
      </c>
      <c r="AB669" s="2">
        <f t="shared" si="204"/>
        <v>0</v>
      </c>
      <c r="AC669" s="2">
        <f t="shared" si="204"/>
        <v>0</v>
      </c>
      <c r="AD669" s="2">
        <f t="shared" si="204"/>
        <v>0</v>
      </c>
      <c r="AE669" s="2">
        <f t="shared" si="204"/>
        <v>0</v>
      </c>
      <c r="AF669" s="2"/>
    </row>
    <row r="670" spans="1:33">
      <c r="A670" s="14"/>
      <c r="B670" t="s">
        <v>6</v>
      </c>
      <c r="D670" t="s">
        <v>744</v>
      </c>
      <c r="E670" s="30"/>
      <c r="F670" t="s">
        <v>618</v>
      </c>
      <c r="H670" s="2" t="s">
        <v>860</v>
      </c>
      <c r="I670" s="2"/>
      <c r="J670" s="2" t="s">
        <v>7</v>
      </c>
      <c r="K670" s="9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3">
      <c r="A671" s="20" t="s">
        <v>914</v>
      </c>
      <c r="B671" s="11"/>
      <c r="C671" s="11"/>
      <c r="D671" s="11"/>
      <c r="E671" s="27"/>
      <c r="F671" s="6"/>
      <c r="G671" s="19">
        <f>SUM(H671:AE671)/24</f>
        <v>12.551783676120003</v>
      </c>
      <c r="H671" s="24">
        <f t="shared" ref="H671:AE671" si="205">$M$9*($F$9+273)^4*$F$11*$H$18</f>
        <v>12.551783676119999</v>
      </c>
      <c r="I671" s="24">
        <f t="shared" si="205"/>
        <v>12.551783676119999</v>
      </c>
      <c r="J671" s="24">
        <f t="shared" si="205"/>
        <v>12.551783676119999</v>
      </c>
      <c r="K671" s="24">
        <f t="shared" si="205"/>
        <v>12.551783676119999</v>
      </c>
      <c r="L671" s="24">
        <f t="shared" si="205"/>
        <v>12.551783676119999</v>
      </c>
      <c r="M671" s="24">
        <f t="shared" si="205"/>
        <v>12.551783676119999</v>
      </c>
      <c r="N671" s="24">
        <f t="shared" si="205"/>
        <v>12.551783676119999</v>
      </c>
      <c r="O671" s="24">
        <f t="shared" si="205"/>
        <v>12.551783676119999</v>
      </c>
      <c r="P671" s="24">
        <f t="shared" si="205"/>
        <v>12.551783676119999</v>
      </c>
      <c r="Q671" s="24">
        <f t="shared" si="205"/>
        <v>12.551783676119999</v>
      </c>
      <c r="R671" s="24">
        <f t="shared" si="205"/>
        <v>12.551783676119999</v>
      </c>
      <c r="S671" s="24">
        <f t="shared" si="205"/>
        <v>12.551783676119999</v>
      </c>
      <c r="T671" s="24">
        <f t="shared" si="205"/>
        <v>12.551783676119999</v>
      </c>
      <c r="U671" s="24">
        <f t="shared" si="205"/>
        <v>12.551783676119999</v>
      </c>
      <c r="V671" s="24">
        <f t="shared" si="205"/>
        <v>12.551783676119999</v>
      </c>
      <c r="W671" s="24">
        <f t="shared" si="205"/>
        <v>12.551783676119999</v>
      </c>
      <c r="X671" s="24">
        <f t="shared" si="205"/>
        <v>12.551783676119999</v>
      </c>
      <c r="Y671" s="24">
        <f t="shared" si="205"/>
        <v>12.551783676119999</v>
      </c>
      <c r="Z671" s="24">
        <f t="shared" si="205"/>
        <v>12.551783676119999</v>
      </c>
      <c r="AA671" s="24">
        <f t="shared" si="205"/>
        <v>12.551783676119999</v>
      </c>
      <c r="AB671" s="24">
        <f t="shared" si="205"/>
        <v>12.551783676119999</v>
      </c>
      <c r="AC671" s="24">
        <f t="shared" si="205"/>
        <v>12.551783676119999</v>
      </c>
      <c r="AD671" s="24">
        <f t="shared" si="205"/>
        <v>12.551783676119999</v>
      </c>
      <c r="AE671" s="24">
        <f t="shared" si="205"/>
        <v>12.551783676119999</v>
      </c>
      <c r="AF671" s="28"/>
      <c r="AG671" s="11"/>
    </row>
    <row r="672" spans="1:33">
      <c r="A672" s="20"/>
      <c r="B672" s="5" t="s">
        <v>272</v>
      </c>
      <c r="C672" s="11"/>
      <c r="D672" t="s">
        <v>743</v>
      </c>
      <c r="E672" s="27"/>
      <c r="F672" s="6"/>
      <c r="G672" s="28"/>
      <c r="H672" t="s">
        <v>717</v>
      </c>
      <c r="I672" s="29"/>
      <c r="J672" s="11"/>
      <c r="K672" s="2" t="s">
        <v>273</v>
      </c>
      <c r="L672" s="11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11"/>
    </row>
    <row r="673" spans="1:33">
      <c r="A673" s="20"/>
      <c r="B673" s="27" t="s">
        <v>925</v>
      </c>
      <c r="C673" s="11" t="s">
        <v>266</v>
      </c>
      <c r="E673" s="27"/>
      <c r="F673" s="6"/>
      <c r="G673" s="28"/>
      <c r="I673" s="29"/>
      <c r="J673" s="11"/>
      <c r="K673" s="2"/>
      <c r="L673" s="11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11"/>
    </row>
    <row r="674" spans="1:33">
      <c r="A674" s="20"/>
      <c r="B674" s="14"/>
      <c r="C674" t="s">
        <v>274</v>
      </c>
      <c r="E674" s="27"/>
      <c r="F674" s="6"/>
      <c r="G674" s="28"/>
      <c r="I674" s="29"/>
      <c r="J674" s="11"/>
      <c r="K674" s="2"/>
      <c r="L674" s="11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11"/>
    </row>
    <row r="675" spans="1:33">
      <c r="A675" s="3"/>
      <c r="B675" s="16" t="s">
        <v>333</v>
      </c>
      <c r="E675" s="12"/>
      <c r="F675" s="6"/>
      <c r="G675" s="32">
        <f>G646+G652+G657+G663+G665+G667+G669+G671</f>
        <v>424.35726659227947</v>
      </c>
      <c r="H675" s="2"/>
      <c r="I675" s="29"/>
      <c r="K675" s="10"/>
      <c r="L675" s="3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3">
      <c r="A676" s="20"/>
      <c r="B676" s="16" t="s">
        <v>725</v>
      </c>
      <c r="E676" s="30"/>
      <c r="F676" s="6"/>
      <c r="G676" s="32">
        <f>G643-G675</f>
        <v>15.735056613334507</v>
      </c>
      <c r="H676" s="33"/>
      <c r="I676" s="8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3">
      <c r="A677" s="39" t="s">
        <v>510</v>
      </c>
      <c r="B677" s="16"/>
      <c r="E677" s="30"/>
      <c r="F677" s="12"/>
      <c r="G677" s="32"/>
      <c r="H677" s="3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3">
      <c r="A678" s="3" t="s">
        <v>977</v>
      </c>
      <c r="E678" s="12"/>
      <c r="F678" s="6"/>
      <c r="G678" s="87" t="s">
        <v>535</v>
      </c>
      <c r="H678" s="21"/>
      <c r="I678" s="2"/>
      <c r="J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3">
      <c r="A679" s="20" t="s">
        <v>935</v>
      </c>
      <c r="B679" s="11"/>
      <c r="C679" s="11"/>
      <c r="E679" s="14" t="s">
        <v>563</v>
      </c>
      <c r="F679" s="31">
        <f>$F$15</f>
        <v>0.7</v>
      </c>
      <c r="G679" s="19">
        <f>SUM(H679:AE679)/48</f>
        <v>128.90293268739484</v>
      </c>
      <c r="H679" s="2">
        <f>H$67*$F$15</f>
        <v>26.217376131334131</v>
      </c>
      <c r="I679" s="2">
        <f t="shared" ref="I679:AE679" si="206">I$67*$F$15</f>
        <v>78.739852052952244</v>
      </c>
      <c r="J679" s="2">
        <f t="shared" si="206"/>
        <v>130.03169463138511</v>
      </c>
      <c r="K679" s="2">
        <f t="shared" si="206"/>
        <v>178.97706432981269</v>
      </c>
      <c r="L679" s="2">
        <f t="shared" si="206"/>
        <v>224.84515685439567</v>
      </c>
      <c r="M679" s="2">
        <f t="shared" si="206"/>
        <v>266.80620612113245</v>
      </c>
      <c r="N679" s="2">
        <f t="shared" si="206"/>
        <v>304.26227191423402</v>
      </c>
      <c r="O679" s="2">
        <f t="shared" si="206"/>
        <v>336.52093640773637</v>
      </c>
      <c r="P679" s="2">
        <f t="shared" si="206"/>
        <v>363.10159905330499</v>
      </c>
      <c r="Q679" s="2">
        <f t="shared" si="206"/>
        <v>383.24702566713552</v>
      </c>
      <c r="R679" s="2">
        <f t="shared" si="206"/>
        <v>396.97193099096972</v>
      </c>
      <c r="S679" s="2">
        <f t="shared" si="206"/>
        <v>403.94927034308319</v>
      </c>
      <c r="T679" s="2">
        <f t="shared" si="206"/>
        <v>403.94927034308319</v>
      </c>
      <c r="U679" s="2">
        <f t="shared" si="206"/>
        <v>396.97193099096972</v>
      </c>
      <c r="V679" s="2">
        <f t="shared" si="206"/>
        <v>383.24702566713552</v>
      </c>
      <c r="W679" s="2">
        <f t="shared" si="206"/>
        <v>363.10159905330499</v>
      </c>
      <c r="X679" s="2">
        <f t="shared" si="206"/>
        <v>336.52093640773637</v>
      </c>
      <c r="Y679" s="2">
        <f t="shared" si="206"/>
        <v>304.26227191423402</v>
      </c>
      <c r="Z679" s="2">
        <f t="shared" si="206"/>
        <v>266.80620612113245</v>
      </c>
      <c r="AA679" s="2">
        <f t="shared" si="206"/>
        <v>224.84515685439567</v>
      </c>
      <c r="AB679" s="2">
        <f t="shared" si="206"/>
        <v>178.97706432981269</v>
      </c>
      <c r="AC679" s="2">
        <f t="shared" si="206"/>
        <v>130.03169463138511</v>
      </c>
      <c r="AD679" s="2">
        <f t="shared" si="206"/>
        <v>78.739852052952244</v>
      </c>
      <c r="AE679" s="2">
        <f t="shared" si="206"/>
        <v>26.217376131334131</v>
      </c>
      <c r="AF679" s="28"/>
      <c r="AG679" s="11"/>
    </row>
    <row r="680" spans="1:33">
      <c r="A680" s="3"/>
      <c r="B680" s="5" t="s">
        <v>1108</v>
      </c>
      <c r="C680" s="11"/>
      <c r="D680" t="s">
        <v>18</v>
      </c>
      <c r="F680" s="27"/>
      <c r="G680" s="2"/>
      <c r="H680" s="2" t="s">
        <v>1019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8"/>
      <c r="AG680" s="11"/>
    </row>
    <row r="681" spans="1:33">
      <c r="A681" s="20" t="s">
        <v>936</v>
      </c>
      <c r="B681" s="11"/>
      <c r="C681" s="11"/>
      <c r="D681" s="24" t="s">
        <v>1013</v>
      </c>
      <c r="E681" s="27"/>
      <c r="F681" s="6" t="s">
        <v>1049</v>
      </c>
      <c r="G681" s="19">
        <f>SUM(H681:AE681)/24</f>
        <v>294.0451576320001</v>
      </c>
      <c r="H681" s="2">
        <f>$M$9*($F$7+273)^4</f>
        <v>294.04515763199998</v>
      </c>
      <c r="I681" s="2">
        <f t="shared" ref="I681:AE681" si="207">$M$9*($F$7+273)^4</f>
        <v>294.04515763199998</v>
      </c>
      <c r="J681" s="2">
        <f t="shared" si="207"/>
        <v>294.04515763199998</v>
      </c>
      <c r="K681" s="2">
        <f t="shared" si="207"/>
        <v>294.04515763199998</v>
      </c>
      <c r="L681" s="2">
        <f t="shared" si="207"/>
        <v>294.04515763199998</v>
      </c>
      <c r="M681" s="2">
        <f t="shared" si="207"/>
        <v>294.04515763199998</v>
      </c>
      <c r="N681" s="2">
        <f t="shared" si="207"/>
        <v>294.04515763199998</v>
      </c>
      <c r="O681" s="2">
        <f t="shared" si="207"/>
        <v>294.04515763199998</v>
      </c>
      <c r="P681" s="2">
        <f t="shared" si="207"/>
        <v>294.04515763199998</v>
      </c>
      <c r="Q681" s="2">
        <f t="shared" si="207"/>
        <v>294.04515763199998</v>
      </c>
      <c r="R681" s="2">
        <f t="shared" si="207"/>
        <v>294.04515763199998</v>
      </c>
      <c r="S681" s="2">
        <f t="shared" si="207"/>
        <v>294.04515763199998</v>
      </c>
      <c r="T681" s="2">
        <f t="shared" si="207"/>
        <v>294.04515763199998</v>
      </c>
      <c r="U681" s="2">
        <f t="shared" si="207"/>
        <v>294.04515763199998</v>
      </c>
      <c r="V681" s="2">
        <f t="shared" si="207"/>
        <v>294.04515763199998</v>
      </c>
      <c r="W681" s="2">
        <f t="shared" si="207"/>
        <v>294.04515763199998</v>
      </c>
      <c r="X681" s="2">
        <f t="shared" si="207"/>
        <v>294.04515763199998</v>
      </c>
      <c r="Y681" s="2">
        <f t="shared" si="207"/>
        <v>294.04515763199998</v>
      </c>
      <c r="Z681" s="2">
        <f t="shared" si="207"/>
        <v>294.04515763199998</v>
      </c>
      <c r="AA681" s="2">
        <f t="shared" si="207"/>
        <v>294.04515763199998</v>
      </c>
      <c r="AB681" s="2">
        <f t="shared" si="207"/>
        <v>294.04515763199998</v>
      </c>
      <c r="AC681" s="2">
        <f t="shared" si="207"/>
        <v>294.04515763199998</v>
      </c>
      <c r="AD681" s="2">
        <f t="shared" si="207"/>
        <v>294.04515763199998</v>
      </c>
      <c r="AE681" s="2">
        <f t="shared" si="207"/>
        <v>294.04515763199998</v>
      </c>
      <c r="AF681" s="28"/>
      <c r="AG681" s="11"/>
    </row>
    <row r="682" spans="1:33">
      <c r="A682" s="20"/>
      <c r="B682" s="16" t="s">
        <v>729</v>
      </c>
      <c r="C682" s="11"/>
      <c r="D682" s="11"/>
      <c r="E682" s="21"/>
      <c r="F682" s="21"/>
      <c r="G682" s="82">
        <f>G679+G681</f>
        <v>422.94809031939496</v>
      </c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8"/>
      <c r="AG682" s="11"/>
    </row>
    <row r="683" spans="1:33">
      <c r="A683" s="39" t="s">
        <v>510</v>
      </c>
      <c r="B683" s="16"/>
      <c r="C683" s="11"/>
      <c r="D683" s="11"/>
      <c r="E683" s="21"/>
      <c r="F683" s="21"/>
      <c r="G683" s="82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8"/>
      <c r="AG683" s="11"/>
    </row>
    <row r="684" spans="1:33">
      <c r="A684" s="3" t="s">
        <v>325</v>
      </c>
      <c r="B684" s="16"/>
      <c r="C684" s="11"/>
      <c r="D684" s="11"/>
      <c r="E684" s="21"/>
      <c r="F684" s="21"/>
      <c r="G684" s="82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8"/>
      <c r="AG684" s="11"/>
    </row>
    <row r="685" spans="1:33">
      <c r="A685" s="3" t="s">
        <v>877</v>
      </c>
      <c r="G685" s="19">
        <f>SUM(H685:AE685)/48</f>
        <v>15.127527935527652</v>
      </c>
      <c r="H685" s="24">
        <f>H$67*H$604*$F$16</f>
        <v>15.81808414260925</v>
      </c>
      <c r="I685" s="24">
        <f t="shared" ref="I685:AE685" si="208">I$67*I$604*$F$16</f>
        <v>25.874788770250646</v>
      </c>
      <c r="J685" s="24">
        <f t="shared" si="208"/>
        <v>29.536422718071154</v>
      </c>
      <c r="K685" s="24">
        <f t="shared" si="208"/>
        <v>30.601227211238768</v>
      </c>
      <c r="L685" s="24">
        <f t="shared" si="208"/>
        <v>31.872305762806825</v>
      </c>
      <c r="M685" s="24">
        <f t="shared" si="208"/>
        <v>32.652524434856339</v>
      </c>
      <c r="N685" s="24">
        <f t="shared" si="208"/>
        <v>33.008039274385908</v>
      </c>
      <c r="O685" s="24">
        <f t="shared" si="208"/>
        <v>32.427890802296524</v>
      </c>
      <c r="P685" s="24">
        <f t="shared" si="208"/>
        <v>32.750442028542345</v>
      </c>
      <c r="Q685" s="24">
        <f t="shared" si="208"/>
        <v>32.843162671868164</v>
      </c>
      <c r="R685" s="24">
        <f t="shared" si="208"/>
        <v>32.792272810200956</v>
      </c>
      <c r="S685" s="24">
        <f t="shared" si="208"/>
        <v>32.88350982553667</v>
      </c>
      <c r="T685" s="24">
        <f t="shared" si="208"/>
        <v>32.88350982553667</v>
      </c>
      <c r="U685" s="24">
        <f t="shared" si="208"/>
        <v>32.792272810200956</v>
      </c>
      <c r="V685" s="24">
        <f t="shared" si="208"/>
        <v>32.843162671868164</v>
      </c>
      <c r="W685" s="24">
        <f t="shared" si="208"/>
        <v>32.750442028542345</v>
      </c>
      <c r="X685" s="24">
        <f t="shared" si="208"/>
        <v>32.427890802296524</v>
      </c>
      <c r="Y685" s="24">
        <f t="shared" si="208"/>
        <v>33.008039274385908</v>
      </c>
      <c r="Z685" s="24">
        <f t="shared" si="208"/>
        <v>32.652524434856339</v>
      </c>
      <c r="AA685" s="24">
        <f t="shared" si="208"/>
        <v>31.872305762806825</v>
      </c>
      <c r="AB685" s="24">
        <f t="shared" si="208"/>
        <v>30.601227211238768</v>
      </c>
      <c r="AC685" s="24">
        <f t="shared" si="208"/>
        <v>29.536422718071154</v>
      </c>
      <c r="AD685" s="24">
        <f t="shared" si="208"/>
        <v>25.874788770250646</v>
      </c>
      <c r="AE685" s="24">
        <f t="shared" si="208"/>
        <v>15.81808414260925</v>
      </c>
      <c r="AF685" s="28"/>
      <c r="AG685" s="11"/>
    </row>
    <row r="686" spans="1:33">
      <c r="B686" s="5" t="s">
        <v>1109</v>
      </c>
      <c r="D686" t="s">
        <v>776</v>
      </c>
      <c r="G686" t="s">
        <v>894</v>
      </c>
      <c r="J686" s="2"/>
      <c r="K686" s="2" t="s">
        <v>1113</v>
      </c>
      <c r="L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3">
      <c r="A687" t="s">
        <v>879</v>
      </c>
      <c r="C687" s="11"/>
      <c r="G687" s="98">
        <f>SUM(H687:AE687)/48</f>
        <v>168.71696820204014</v>
      </c>
      <c r="H687" s="97">
        <f>H$67*(1-($F$16+$F$13)*H$604)</f>
        <v>21.318948647873039</v>
      </c>
      <c r="I687" s="97">
        <f t="shared" ref="I687:AE687" si="209">I$67*(1-($F$16+$F$13)*I$604)</f>
        <v>86.093218387133263</v>
      </c>
      <c r="J687" s="97">
        <f t="shared" si="209"/>
        <v>155.63241258668901</v>
      </c>
      <c r="K687" s="97">
        <f t="shared" si="209"/>
        <v>224.46826871569746</v>
      </c>
      <c r="L687" s="97">
        <f t="shared" si="209"/>
        <v>288.69761505678804</v>
      </c>
      <c r="M687" s="97">
        <f t="shared" si="209"/>
        <v>347.84614810663572</v>
      </c>
      <c r="N687" s="97">
        <f t="shared" si="209"/>
        <v>400.99218838903209</v>
      </c>
      <c r="O687" s="97">
        <f t="shared" si="209"/>
        <v>447.66774624985243</v>
      </c>
      <c r="P687" s="97">
        <f t="shared" si="209"/>
        <v>485.31111920703677</v>
      </c>
      <c r="Q687" s="97">
        <f t="shared" si="209"/>
        <v>513.99572502774527</v>
      </c>
      <c r="R687" s="97">
        <f t="shared" si="209"/>
        <v>533.6546402921233</v>
      </c>
      <c r="S687" s="97">
        <f t="shared" si="209"/>
        <v>543.52920618235714</v>
      </c>
      <c r="T687" s="97">
        <f t="shared" si="209"/>
        <v>543.52920618235714</v>
      </c>
      <c r="U687" s="97">
        <f t="shared" si="209"/>
        <v>533.6546402921233</v>
      </c>
      <c r="V687" s="97">
        <f t="shared" si="209"/>
        <v>513.99572502774527</v>
      </c>
      <c r="W687" s="97">
        <f t="shared" si="209"/>
        <v>485.31111920703677</v>
      </c>
      <c r="X687" s="97">
        <f t="shared" si="209"/>
        <v>447.66774624985243</v>
      </c>
      <c r="Y687" s="97">
        <f t="shared" si="209"/>
        <v>400.99218838903209</v>
      </c>
      <c r="Z687" s="97">
        <f t="shared" si="209"/>
        <v>347.84614810663572</v>
      </c>
      <c r="AA687" s="97">
        <f t="shared" si="209"/>
        <v>288.69761505678804</v>
      </c>
      <c r="AB687" s="97">
        <f t="shared" si="209"/>
        <v>224.46826871569746</v>
      </c>
      <c r="AC687" s="97">
        <f t="shared" si="209"/>
        <v>155.63241258668901</v>
      </c>
      <c r="AD687" s="97">
        <f t="shared" si="209"/>
        <v>86.093218387133263</v>
      </c>
      <c r="AE687" s="97">
        <f t="shared" si="209"/>
        <v>21.318948647873039</v>
      </c>
      <c r="AF687" s="28"/>
      <c r="AG687" s="11"/>
    </row>
    <row r="688" spans="1:33">
      <c r="B688" s="24" t="s">
        <v>1111</v>
      </c>
      <c r="D688" s="2" t="s">
        <v>59</v>
      </c>
      <c r="E688" s="24" t="s">
        <v>880</v>
      </c>
      <c r="G688" t="s">
        <v>853</v>
      </c>
      <c r="I688" t="s">
        <v>1112</v>
      </c>
      <c r="AF688" s="28"/>
      <c r="AG688" s="11"/>
    </row>
    <row r="689" spans="1:33">
      <c r="A689" t="s">
        <v>895</v>
      </c>
      <c r="C689" s="11"/>
      <c r="D689" s="24"/>
      <c r="G689" s="97">
        <f>SUM(H689:AE689)/48</f>
        <v>118.10187774142814</v>
      </c>
      <c r="H689" s="97">
        <f>H687*$F$15</f>
        <v>14.923264053511126</v>
      </c>
      <c r="I689" s="97">
        <f t="shared" ref="I689:AE689" si="210">I687*$F$15</f>
        <v>60.26525287099328</v>
      </c>
      <c r="J689" s="97">
        <f t="shared" si="210"/>
        <v>108.9426888106823</v>
      </c>
      <c r="K689" s="97">
        <f t="shared" si="210"/>
        <v>157.12778810098823</v>
      </c>
      <c r="L689" s="97">
        <f t="shared" si="210"/>
        <v>202.08833053975161</v>
      </c>
      <c r="M689" s="97">
        <f t="shared" si="210"/>
        <v>243.492303674645</v>
      </c>
      <c r="N689" s="97">
        <f t="shared" si="210"/>
        <v>280.69453187232244</v>
      </c>
      <c r="O689" s="97">
        <f t="shared" si="210"/>
        <v>313.36742237489671</v>
      </c>
      <c r="P689" s="97">
        <f t="shared" si="210"/>
        <v>339.71778344492571</v>
      </c>
      <c r="Q689" s="97">
        <f t="shared" si="210"/>
        <v>359.79700751942164</v>
      </c>
      <c r="R689" s="97">
        <f t="shared" si="210"/>
        <v>373.55824820448629</v>
      </c>
      <c r="S689" s="97">
        <f t="shared" si="210"/>
        <v>380.47044432765</v>
      </c>
      <c r="T689" s="97">
        <f t="shared" si="210"/>
        <v>380.47044432765</v>
      </c>
      <c r="U689" s="97">
        <f t="shared" si="210"/>
        <v>373.55824820448629</v>
      </c>
      <c r="V689" s="97">
        <f t="shared" si="210"/>
        <v>359.79700751942164</v>
      </c>
      <c r="W689" s="97">
        <f t="shared" si="210"/>
        <v>339.71778344492571</v>
      </c>
      <c r="X689" s="97">
        <f t="shared" si="210"/>
        <v>313.36742237489671</v>
      </c>
      <c r="Y689" s="97">
        <f t="shared" si="210"/>
        <v>280.69453187232244</v>
      </c>
      <c r="Z689" s="97">
        <f t="shared" si="210"/>
        <v>243.492303674645</v>
      </c>
      <c r="AA689" s="97">
        <f t="shared" si="210"/>
        <v>202.08833053975161</v>
      </c>
      <c r="AB689" s="97">
        <f t="shared" si="210"/>
        <v>157.12778810098823</v>
      </c>
      <c r="AC689" s="97">
        <f t="shared" si="210"/>
        <v>108.9426888106823</v>
      </c>
      <c r="AD689" s="97">
        <f t="shared" si="210"/>
        <v>60.26525287099328</v>
      </c>
      <c r="AE689" s="97">
        <f t="shared" si="210"/>
        <v>14.923264053511126</v>
      </c>
      <c r="AF689" s="28"/>
      <c r="AG689" s="11"/>
    </row>
    <row r="690" spans="1:33">
      <c r="B690" s="24" t="s">
        <v>938</v>
      </c>
      <c r="C690" s="14" t="s">
        <v>897</v>
      </c>
      <c r="D690" s="24" t="s">
        <v>29</v>
      </c>
      <c r="I690" s="24"/>
      <c r="AF690" s="28"/>
      <c r="AG690" s="11"/>
    </row>
    <row r="691" spans="1:33">
      <c r="A691" s="20" t="s">
        <v>896</v>
      </c>
      <c r="B691" s="11"/>
      <c r="C691" s="11"/>
      <c r="E691" s="14" t="s">
        <v>563</v>
      </c>
      <c r="F691" s="31">
        <f>$F$15</f>
        <v>0.7</v>
      </c>
      <c r="G691" s="19">
        <f>SUM(H691:AE691)/48</f>
        <v>112.10651296627276</v>
      </c>
      <c r="H691" s="2">
        <f>H689*(1-($F$16+$F$13)*$H$605)</f>
        <v>14.165694289610773</v>
      </c>
      <c r="I691" s="2">
        <f t="shared" ref="I691:AE691" si="211">I689*(1-($F$16+$F$13)*$H$605)</f>
        <v>57.205926625396778</v>
      </c>
      <c r="J691" s="2">
        <f t="shared" si="211"/>
        <v>103.41228428624045</v>
      </c>
      <c r="K691" s="2">
        <f t="shared" si="211"/>
        <v>149.15129844651187</v>
      </c>
      <c r="L691" s="2">
        <f t="shared" si="211"/>
        <v>191.82944828014325</v>
      </c>
      <c r="M691" s="2">
        <f t="shared" si="211"/>
        <v>231.13157573034826</v>
      </c>
      <c r="N691" s="2">
        <f t="shared" si="211"/>
        <v>266.44525708390211</v>
      </c>
      <c r="O691" s="2">
        <f t="shared" si="211"/>
        <v>297.45952961555372</v>
      </c>
      <c r="P691" s="2">
        <f t="shared" si="211"/>
        <v>322.47223179655344</v>
      </c>
      <c r="Q691" s="2">
        <f t="shared" si="211"/>
        <v>341.53214716037627</v>
      </c>
      <c r="R691" s="2">
        <f t="shared" si="211"/>
        <v>354.59480743974825</v>
      </c>
      <c r="S691" s="2">
        <f t="shared" si="211"/>
        <v>361.15611043616161</v>
      </c>
      <c r="T691" s="2">
        <f t="shared" si="211"/>
        <v>361.15611043616161</v>
      </c>
      <c r="U691" s="2">
        <f t="shared" si="211"/>
        <v>354.59480743974825</v>
      </c>
      <c r="V691" s="2">
        <f t="shared" si="211"/>
        <v>341.53214716037627</v>
      </c>
      <c r="W691" s="2">
        <f t="shared" si="211"/>
        <v>322.47223179655344</v>
      </c>
      <c r="X691" s="2">
        <f t="shared" si="211"/>
        <v>297.45952961555372</v>
      </c>
      <c r="Y691" s="2">
        <f t="shared" si="211"/>
        <v>266.44525708390211</v>
      </c>
      <c r="Z691" s="2">
        <f t="shared" si="211"/>
        <v>231.13157573034826</v>
      </c>
      <c r="AA691" s="2">
        <f t="shared" si="211"/>
        <v>191.82944828014325</v>
      </c>
      <c r="AB691" s="2">
        <f t="shared" si="211"/>
        <v>149.15129844651187</v>
      </c>
      <c r="AC691" s="2">
        <f t="shared" si="211"/>
        <v>103.41228428624045</v>
      </c>
      <c r="AD691" s="2">
        <f t="shared" si="211"/>
        <v>57.205926625396778</v>
      </c>
      <c r="AE691" s="2">
        <f t="shared" si="211"/>
        <v>14.165694289610773</v>
      </c>
      <c r="AF691" s="28"/>
      <c r="AG691" s="11"/>
    </row>
    <row r="692" spans="1:33">
      <c r="A692" s="3"/>
      <c r="B692" s="5" t="s">
        <v>87</v>
      </c>
      <c r="C692" s="11"/>
      <c r="D692" t="s">
        <v>0</v>
      </c>
      <c r="F692" s="27"/>
      <c r="G692" s="2"/>
      <c r="H692" s="2" t="s">
        <v>898</v>
      </c>
      <c r="I692" s="2"/>
      <c r="J692" s="2" t="s">
        <v>899</v>
      </c>
      <c r="K692" s="2"/>
      <c r="L692" t="s">
        <v>256</v>
      </c>
      <c r="M692" s="2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11"/>
    </row>
    <row r="693" spans="1:33">
      <c r="A693" t="s">
        <v>834</v>
      </c>
      <c r="B693" s="5"/>
      <c r="C693" s="11"/>
      <c r="D693" s="5" t="s">
        <v>21</v>
      </c>
      <c r="F693" t="s">
        <v>255</v>
      </c>
      <c r="G693" s="97">
        <f>SUM(H693:AE693)/48</f>
        <v>5.8778086030934373</v>
      </c>
      <c r="H693" s="97">
        <f>H689*$H$605*$F$16</f>
        <v>0.74271545480426715</v>
      </c>
      <c r="I693" s="97">
        <f t="shared" ref="I693:AE693" si="212">I689*$H$605*$F$16</f>
        <v>2.9993394564671583</v>
      </c>
      <c r="J693" s="97">
        <f t="shared" si="212"/>
        <v>5.4219652200410176</v>
      </c>
      <c r="K693" s="97">
        <f t="shared" si="212"/>
        <v>7.8200878965454397</v>
      </c>
      <c r="L693" s="97">
        <f t="shared" si="212"/>
        <v>10.057727705498365</v>
      </c>
      <c r="M693" s="97">
        <f t="shared" si="212"/>
        <v>12.118360729702669</v>
      </c>
      <c r="N693" s="97">
        <f t="shared" si="212"/>
        <v>13.969877243549332</v>
      </c>
      <c r="O693" s="97">
        <f t="shared" si="212"/>
        <v>15.595973293473479</v>
      </c>
      <c r="P693" s="97">
        <f t="shared" si="212"/>
        <v>16.907403576835559</v>
      </c>
      <c r="Q693" s="97">
        <f t="shared" si="212"/>
        <v>17.906725842201311</v>
      </c>
      <c r="R693" s="97">
        <f t="shared" si="212"/>
        <v>18.59160859288038</v>
      </c>
      <c r="S693" s="97">
        <f t="shared" si="212"/>
        <v>18.9356214622435</v>
      </c>
      <c r="T693" s="97">
        <f t="shared" si="212"/>
        <v>18.9356214622435</v>
      </c>
      <c r="U693" s="97">
        <f t="shared" si="212"/>
        <v>18.59160859288038</v>
      </c>
      <c r="V693" s="97">
        <f t="shared" si="212"/>
        <v>17.906725842201311</v>
      </c>
      <c r="W693" s="97">
        <f t="shared" si="212"/>
        <v>16.907403576835559</v>
      </c>
      <c r="X693" s="97">
        <f t="shared" si="212"/>
        <v>15.595973293473479</v>
      </c>
      <c r="Y693" s="97">
        <f t="shared" si="212"/>
        <v>13.969877243549332</v>
      </c>
      <c r="Z693" s="97">
        <f t="shared" si="212"/>
        <v>12.118360729702669</v>
      </c>
      <c r="AA693" s="97">
        <f t="shared" si="212"/>
        <v>10.057727705498365</v>
      </c>
      <c r="AB693" s="97">
        <f t="shared" si="212"/>
        <v>7.8200878965454397</v>
      </c>
      <c r="AC693" s="97">
        <f t="shared" si="212"/>
        <v>5.4219652200410176</v>
      </c>
      <c r="AD693" s="97">
        <f t="shared" si="212"/>
        <v>2.9993394564671583</v>
      </c>
      <c r="AE693" s="97">
        <f t="shared" si="212"/>
        <v>0.74271545480426715</v>
      </c>
      <c r="AF693" s="28"/>
      <c r="AG693" s="11"/>
    </row>
    <row r="694" spans="1:33">
      <c r="A694" t="s">
        <v>930</v>
      </c>
      <c r="B694" s="5"/>
      <c r="C694" s="11"/>
      <c r="D694" s="5" t="s">
        <v>31</v>
      </c>
      <c r="G694" s="97">
        <f>SUM(H694:AE694)/48</f>
        <v>4.1144660221654048</v>
      </c>
      <c r="H694" s="97">
        <f>H693*$F$15</f>
        <v>0.51990081836298696</v>
      </c>
      <c r="I694" s="97">
        <f t="shared" ref="I694:AE694" si="213">I693*$F$15</f>
        <v>2.0995376195270108</v>
      </c>
      <c r="J694" s="97">
        <f t="shared" si="213"/>
        <v>3.795375654028712</v>
      </c>
      <c r="K694" s="97">
        <f t="shared" si="213"/>
        <v>5.4740615275818074</v>
      </c>
      <c r="L694" s="97">
        <f t="shared" si="213"/>
        <v>7.0404093938488552</v>
      </c>
      <c r="M694" s="97">
        <f t="shared" si="213"/>
        <v>8.4828525107918669</v>
      </c>
      <c r="N694" s="97">
        <f t="shared" si="213"/>
        <v>9.7789140704845323</v>
      </c>
      <c r="O694" s="97">
        <f t="shared" si="213"/>
        <v>10.917181305431434</v>
      </c>
      <c r="P694" s="97">
        <f t="shared" si="213"/>
        <v>11.835182503784891</v>
      </c>
      <c r="Q694" s="97">
        <f t="shared" si="213"/>
        <v>12.534708089540917</v>
      </c>
      <c r="R694" s="97">
        <f t="shared" si="213"/>
        <v>13.014126015016265</v>
      </c>
      <c r="S694" s="97">
        <f t="shared" si="213"/>
        <v>13.254935023570448</v>
      </c>
      <c r="T694" s="97">
        <f t="shared" si="213"/>
        <v>13.254935023570448</v>
      </c>
      <c r="U694" s="97">
        <f t="shared" si="213"/>
        <v>13.014126015016265</v>
      </c>
      <c r="V694" s="97">
        <f t="shared" si="213"/>
        <v>12.534708089540917</v>
      </c>
      <c r="W694" s="97">
        <f t="shared" si="213"/>
        <v>11.835182503784891</v>
      </c>
      <c r="X694" s="97">
        <f t="shared" si="213"/>
        <v>10.917181305431434</v>
      </c>
      <c r="Y694" s="97">
        <f t="shared" si="213"/>
        <v>9.7789140704845323</v>
      </c>
      <c r="Z694" s="97">
        <f t="shared" si="213"/>
        <v>8.4828525107918669</v>
      </c>
      <c r="AA694" s="97">
        <f t="shared" si="213"/>
        <v>7.0404093938488552</v>
      </c>
      <c r="AB694" s="97">
        <f t="shared" si="213"/>
        <v>5.4740615275818074</v>
      </c>
      <c r="AC694" s="97">
        <f t="shared" si="213"/>
        <v>3.795375654028712</v>
      </c>
      <c r="AD694" s="97">
        <f t="shared" si="213"/>
        <v>2.0995376195270108</v>
      </c>
      <c r="AE694" s="97">
        <f t="shared" si="213"/>
        <v>0.51990081836298696</v>
      </c>
      <c r="AF694" s="28"/>
      <c r="AG694" s="11"/>
    </row>
    <row r="695" spans="1:33">
      <c r="A695" s="20" t="s">
        <v>835</v>
      </c>
      <c r="B695" s="5"/>
      <c r="C695" s="11"/>
      <c r="G695" s="19">
        <f>SUM(H695:AE695)/48</f>
        <v>3.9055978387833323</v>
      </c>
      <c r="H695" s="24">
        <f>H694*(1-($F$16+$F$13)*$H$605)</f>
        <v>0.49350839249646339</v>
      </c>
      <c r="I695" s="24">
        <f t="shared" ref="I695:AE695" si="214">I694*(1-($F$16+$F$13)*$H$605)</f>
        <v>1.9929559619873678</v>
      </c>
      <c r="J695" s="24">
        <f t="shared" si="214"/>
        <v>3.6027058850139908</v>
      </c>
      <c r="K695" s="24">
        <f t="shared" si="214"/>
        <v>5.1961743653526797</v>
      </c>
      <c r="L695" s="24">
        <f t="shared" si="214"/>
        <v>6.6830076040570958</v>
      </c>
      <c r="M695" s="24">
        <f t="shared" si="214"/>
        <v>8.0522260372027912</v>
      </c>
      <c r="N695" s="24">
        <f t="shared" si="214"/>
        <v>9.2824938773542094</v>
      </c>
      <c r="O695" s="24">
        <f t="shared" si="214"/>
        <v>10.362977718712269</v>
      </c>
      <c r="P695" s="24">
        <f t="shared" si="214"/>
        <v>11.234377185125371</v>
      </c>
      <c r="Q695" s="24">
        <f t="shared" si="214"/>
        <v>11.898391810883423</v>
      </c>
      <c r="R695" s="24">
        <f t="shared" si="214"/>
        <v>12.353472398139086</v>
      </c>
      <c r="S695" s="24">
        <f t="shared" si="214"/>
        <v>12.58205689447521</v>
      </c>
      <c r="T695" s="24">
        <f t="shared" si="214"/>
        <v>12.58205689447521</v>
      </c>
      <c r="U695" s="24">
        <f t="shared" si="214"/>
        <v>12.353472398139086</v>
      </c>
      <c r="V695" s="24">
        <f t="shared" si="214"/>
        <v>11.898391810883423</v>
      </c>
      <c r="W695" s="24">
        <f t="shared" si="214"/>
        <v>11.234377185125371</v>
      </c>
      <c r="X695" s="24">
        <f t="shared" si="214"/>
        <v>10.362977718712269</v>
      </c>
      <c r="Y695" s="24">
        <f t="shared" si="214"/>
        <v>9.2824938773542094</v>
      </c>
      <c r="Z695" s="24">
        <f t="shared" si="214"/>
        <v>8.0522260372027912</v>
      </c>
      <c r="AA695" s="24">
        <f t="shared" si="214"/>
        <v>6.6830076040570958</v>
      </c>
      <c r="AB695" s="24">
        <f t="shared" si="214"/>
        <v>5.1961743653526797</v>
      </c>
      <c r="AC695" s="24">
        <f t="shared" si="214"/>
        <v>3.6027058850139908</v>
      </c>
      <c r="AD695" s="24">
        <f t="shared" si="214"/>
        <v>1.9929559619873678</v>
      </c>
      <c r="AE695" s="24">
        <f t="shared" si="214"/>
        <v>0.49350839249646339</v>
      </c>
      <c r="AF695" s="28"/>
      <c r="AG695" s="11"/>
    </row>
    <row r="696" spans="1:33">
      <c r="A696" s="20"/>
      <c r="B696" s="24" t="s">
        <v>32</v>
      </c>
      <c r="C696" s="11"/>
      <c r="D696" t="s">
        <v>0</v>
      </c>
      <c r="G696" s="27"/>
      <c r="H696" s="24" t="s">
        <v>900</v>
      </c>
      <c r="K696" t="s">
        <v>853</v>
      </c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8"/>
      <c r="AG696" s="11"/>
    </row>
    <row r="697" spans="1:33">
      <c r="A697" s="100" t="s">
        <v>836</v>
      </c>
      <c r="B697" s="5"/>
      <c r="C697" s="11"/>
      <c r="G697" s="19">
        <f>SUM(H697:AE697)/48</f>
        <v>0.13606430237374431</v>
      </c>
      <c r="H697" s="2">
        <f>H695^2/H691</f>
        <v>1.7192982460666622E-2</v>
      </c>
      <c r="I697" s="2">
        <f t="shared" ref="I697:AE697" si="215">I695^2/I691</f>
        <v>6.9431153391328285E-2</v>
      </c>
      <c r="J697" s="2">
        <f t="shared" si="215"/>
        <v>0.12551206835338646</v>
      </c>
      <c r="K697" s="2">
        <f t="shared" si="215"/>
        <v>0.1810257658925514</v>
      </c>
      <c r="L697" s="2">
        <f t="shared" si="215"/>
        <v>0.23282447526336394</v>
      </c>
      <c r="M697" s="2">
        <f t="shared" si="215"/>
        <v>0.28052568736800726</v>
      </c>
      <c r="N697" s="2">
        <f t="shared" si="215"/>
        <v>0.32338610011731456</v>
      </c>
      <c r="O697" s="2">
        <f t="shared" si="215"/>
        <v>0.3610282963108391</v>
      </c>
      <c r="P697" s="2">
        <f t="shared" si="215"/>
        <v>0.39138635297222013</v>
      </c>
      <c r="Q697" s="2">
        <f t="shared" si="215"/>
        <v>0.41451947894913277</v>
      </c>
      <c r="R697" s="2">
        <f t="shared" si="215"/>
        <v>0.43037370285664728</v>
      </c>
      <c r="S697" s="2">
        <f t="shared" si="215"/>
        <v>0.43833719303440638</v>
      </c>
      <c r="T697" s="2">
        <f t="shared" si="215"/>
        <v>0.43833719303440638</v>
      </c>
      <c r="U697" s="2">
        <f t="shared" si="215"/>
        <v>0.43037370285664728</v>
      </c>
      <c r="V697" s="2">
        <f t="shared" si="215"/>
        <v>0.41451947894913277</v>
      </c>
      <c r="W697" s="2">
        <f t="shared" si="215"/>
        <v>0.39138635297222013</v>
      </c>
      <c r="X697" s="2">
        <f t="shared" si="215"/>
        <v>0.3610282963108391</v>
      </c>
      <c r="Y697" s="2">
        <f t="shared" si="215"/>
        <v>0.32338610011731456</v>
      </c>
      <c r="Z697" s="2">
        <f t="shared" si="215"/>
        <v>0.28052568736800726</v>
      </c>
      <c r="AA697" s="2">
        <f t="shared" si="215"/>
        <v>0.23282447526336394</v>
      </c>
      <c r="AB697" s="2">
        <f t="shared" si="215"/>
        <v>0.1810257658925514</v>
      </c>
      <c r="AC697" s="2">
        <f t="shared" si="215"/>
        <v>0.12551206835338646</v>
      </c>
      <c r="AD697" s="2">
        <f t="shared" si="215"/>
        <v>6.9431153391328285E-2</v>
      </c>
      <c r="AE697" s="2">
        <f t="shared" si="215"/>
        <v>1.7192982460666622E-2</v>
      </c>
      <c r="AF697" s="28"/>
      <c r="AG697" s="11"/>
    </row>
    <row r="698" spans="1:33">
      <c r="A698" s="100"/>
      <c r="B698" s="24" t="s">
        <v>34</v>
      </c>
      <c r="C698" s="11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8"/>
      <c r="AG698" s="11"/>
    </row>
    <row r="699" spans="1:33">
      <c r="A699" s="20" t="s">
        <v>901</v>
      </c>
      <c r="B699" s="11"/>
      <c r="C699" s="11"/>
      <c r="D699" s="24"/>
      <c r="E699" s="27"/>
      <c r="F699" s="6"/>
      <c r="G699" s="19">
        <f>SUM(H699:AE699)/24</f>
        <v>264.77650940590888</v>
      </c>
      <c r="H699" s="2">
        <f>$M$9*($F$7+273)^4*(1-$H$605)</f>
        <v>264.77650940590894</v>
      </c>
      <c r="I699" s="2">
        <f t="shared" ref="I699:AE699" si="216">$M$9*($F$7+273)^4*(1-$H$605)</f>
        <v>264.77650940590894</v>
      </c>
      <c r="J699" s="2">
        <f t="shared" si="216"/>
        <v>264.77650940590894</v>
      </c>
      <c r="K699" s="2">
        <f t="shared" si="216"/>
        <v>264.77650940590894</v>
      </c>
      <c r="L699" s="2">
        <f t="shared" si="216"/>
        <v>264.77650940590894</v>
      </c>
      <c r="M699" s="2">
        <f t="shared" si="216"/>
        <v>264.77650940590894</v>
      </c>
      <c r="N699" s="2">
        <f t="shared" si="216"/>
        <v>264.77650940590894</v>
      </c>
      <c r="O699" s="2">
        <f t="shared" si="216"/>
        <v>264.77650940590894</v>
      </c>
      <c r="P699" s="2">
        <f t="shared" si="216"/>
        <v>264.77650940590894</v>
      </c>
      <c r="Q699" s="2">
        <f t="shared" si="216"/>
        <v>264.77650940590894</v>
      </c>
      <c r="R699" s="2">
        <f t="shared" si="216"/>
        <v>264.77650940590894</v>
      </c>
      <c r="S699" s="2">
        <f t="shared" si="216"/>
        <v>264.77650940590894</v>
      </c>
      <c r="T699" s="2">
        <f t="shared" si="216"/>
        <v>264.77650940590894</v>
      </c>
      <c r="U699" s="2">
        <f t="shared" si="216"/>
        <v>264.77650940590894</v>
      </c>
      <c r="V699" s="2">
        <f t="shared" si="216"/>
        <v>264.77650940590894</v>
      </c>
      <c r="W699" s="2">
        <f t="shared" si="216"/>
        <v>264.77650940590894</v>
      </c>
      <c r="X699" s="2">
        <f t="shared" si="216"/>
        <v>264.77650940590894</v>
      </c>
      <c r="Y699" s="2">
        <f t="shared" si="216"/>
        <v>264.77650940590894</v>
      </c>
      <c r="Z699" s="2">
        <f t="shared" si="216"/>
        <v>264.77650940590894</v>
      </c>
      <c r="AA699" s="2">
        <f t="shared" si="216"/>
        <v>264.77650940590894</v>
      </c>
      <c r="AB699" s="2">
        <f t="shared" si="216"/>
        <v>264.77650940590894</v>
      </c>
      <c r="AC699" s="2">
        <f t="shared" si="216"/>
        <v>264.77650940590894</v>
      </c>
      <c r="AD699" s="2">
        <f t="shared" si="216"/>
        <v>264.77650940590894</v>
      </c>
      <c r="AE699" s="2">
        <f t="shared" si="216"/>
        <v>264.77650940590894</v>
      </c>
      <c r="AF699" s="28"/>
      <c r="AG699" s="11"/>
    </row>
    <row r="700" spans="1:33">
      <c r="A700" s="14"/>
      <c r="B700" s="5" t="s">
        <v>8</v>
      </c>
      <c r="D700" t="s">
        <v>1056</v>
      </c>
      <c r="E700" s="12"/>
      <c r="F700" s="6"/>
      <c r="G700" s="2"/>
      <c r="H700" s="2" t="s">
        <v>9</v>
      </c>
      <c r="J700" s="10"/>
      <c r="K700" s="9"/>
      <c r="AF700" s="2"/>
    </row>
    <row r="701" spans="1:33">
      <c r="A701" s="20" t="s">
        <v>914</v>
      </c>
      <c r="B701" s="11"/>
      <c r="C701" s="11"/>
      <c r="D701" s="11"/>
      <c r="E701" s="27"/>
      <c r="F701" s="6"/>
      <c r="G701" s="19">
        <f>SUM(H701:AE701)/24</f>
        <v>12.551783676120003</v>
      </c>
      <c r="H701" s="24">
        <f t="shared" ref="H701:AE701" si="217">$M$9*($F$9+273)^4*$F$11*$H$18</f>
        <v>12.551783676119999</v>
      </c>
      <c r="I701" s="24">
        <f t="shared" si="217"/>
        <v>12.551783676119999</v>
      </c>
      <c r="J701" s="24">
        <f t="shared" si="217"/>
        <v>12.551783676119999</v>
      </c>
      <c r="K701" s="24">
        <f t="shared" si="217"/>
        <v>12.551783676119999</v>
      </c>
      <c r="L701" s="24">
        <f t="shared" si="217"/>
        <v>12.551783676119999</v>
      </c>
      <c r="M701" s="24">
        <f t="shared" si="217"/>
        <v>12.551783676119999</v>
      </c>
      <c r="N701" s="24">
        <f t="shared" si="217"/>
        <v>12.551783676119999</v>
      </c>
      <c r="O701" s="24">
        <f t="shared" si="217"/>
        <v>12.551783676119999</v>
      </c>
      <c r="P701" s="24">
        <f t="shared" si="217"/>
        <v>12.551783676119999</v>
      </c>
      <c r="Q701" s="24">
        <f t="shared" si="217"/>
        <v>12.551783676119999</v>
      </c>
      <c r="R701" s="24">
        <f t="shared" si="217"/>
        <v>12.551783676119999</v>
      </c>
      <c r="S701" s="24">
        <f t="shared" si="217"/>
        <v>12.551783676119999</v>
      </c>
      <c r="T701" s="24">
        <f t="shared" si="217"/>
        <v>12.551783676119999</v>
      </c>
      <c r="U701" s="24">
        <f t="shared" si="217"/>
        <v>12.551783676119999</v>
      </c>
      <c r="V701" s="24">
        <f t="shared" si="217"/>
        <v>12.551783676119999</v>
      </c>
      <c r="W701" s="24">
        <f t="shared" si="217"/>
        <v>12.551783676119999</v>
      </c>
      <c r="X701" s="24">
        <f t="shared" si="217"/>
        <v>12.551783676119999</v>
      </c>
      <c r="Y701" s="24">
        <f t="shared" si="217"/>
        <v>12.551783676119999</v>
      </c>
      <c r="Z701" s="24">
        <f t="shared" si="217"/>
        <v>12.551783676119999</v>
      </c>
      <c r="AA701" s="24">
        <f t="shared" si="217"/>
        <v>12.551783676119999</v>
      </c>
      <c r="AB701" s="24">
        <f t="shared" si="217"/>
        <v>12.551783676119999</v>
      </c>
      <c r="AC701" s="24">
        <f t="shared" si="217"/>
        <v>12.551783676119999</v>
      </c>
      <c r="AD701" s="24">
        <f t="shared" si="217"/>
        <v>12.551783676119999</v>
      </c>
      <c r="AE701" s="24">
        <f t="shared" si="217"/>
        <v>12.551783676119999</v>
      </c>
      <c r="AF701" s="28"/>
      <c r="AG701" s="11"/>
    </row>
    <row r="702" spans="1:33">
      <c r="A702" s="20"/>
      <c r="B702" s="5" t="s">
        <v>272</v>
      </c>
      <c r="C702" s="11"/>
      <c r="D702" t="s">
        <v>743</v>
      </c>
      <c r="E702" s="27"/>
      <c r="F702" s="6"/>
      <c r="G702" s="28"/>
      <c r="H702" t="s">
        <v>717</v>
      </c>
      <c r="I702" s="29"/>
      <c r="J702" s="11"/>
      <c r="K702" s="2" t="s">
        <v>273</v>
      </c>
      <c r="L702" s="11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11"/>
    </row>
    <row r="703" spans="1:33">
      <c r="A703" s="20"/>
      <c r="B703" s="27" t="s">
        <v>925</v>
      </c>
      <c r="C703" s="11" t="s">
        <v>266</v>
      </c>
      <c r="E703" s="27"/>
      <c r="F703" s="6"/>
      <c r="G703" s="28"/>
      <c r="I703" s="29"/>
      <c r="J703" s="11"/>
      <c r="K703" s="2"/>
      <c r="L703" s="11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11"/>
    </row>
    <row r="704" spans="1:33">
      <c r="A704" s="20"/>
      <c r="B704" s="14"/>
      <c r="C704" t="s">
        <v>274</v>
      </c>
      <c r="E704" s="27"/>
      <c r="F704" s="6"/>
      <c r="G704" s="28"/>
      <c r="I704" s="29"/>
      <c r="J704" s="11"/>
      <c r="K704" s="2"/>
      <c r="L704" s="11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11"/>
    </row>
    <row r="705" spans="1:33">
      <c r="A705" s="20"/>
      <c r="B705" s="16" t="s">
        <v>334</v>
      </c>
      <c r="C705" s="11"/>
      <c r="D705" s="11"/>
      <c r="E705" s="21"/>
      <c r="F705" s="21"/>
      <c r="G705" s="82">
        <f>G685+G691+G695+G697+G699+G701</f>
        <v>408.60399612498639</v>
      </c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8"/>
      <c r="AG705" s="11"/>
    </row>
    <row r="706" spans="1:33">
      <c r="A706" s="20"/>
      <c r="B706" s="16" t="s">
        <v>730</v>
      </c>
      <c r="C706" s="11"/>
      <c r="D706" s="11"/>
      <c r="E706" s="21"/>
      <c r="F706" s="21"/>
      <c r="G706" s="82">
        <f>G682-G705</f>
        <v>14.344094194408569</v>
      </c>
      <c r="H706" s="24"/>
      <c r="I706" s="32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8"/>
      <c r="AG706" s="11"/>
    </row>
    <row r="707" spans="1:33">
      <c r="A707" s="14"/>
      <c r="B707" s="5"/>
      <c r="G707" s="2"/>
      <c r="H707" s="2"/>
      <c r="I707" s="2"/>
      <c r="J707" s="10"/>
      <c r="K707" s="9"/>
      <c r="AF707" s="2"/>
    </row>
    <row r="708" spans="1:33">
      <c r="A708" s="11"/>
      <c r="C708" s="11"/>
      <c r="E708" s="12"/>
      <c r="F708" s="18"/>
      <c r="G708" s="2"/>
      <c r="H708" s="2"/>
      <c r="J708" s="11"/>
      <c r="M708" s="10"/>
      <c r="N708" s="10"/>
      <c r="AF708" s="2"/>
    </row>
    <row r="709" spans="1:33" ht="18.75">
      <c r="A709" s="85" t="s">
        <v>511</v>
      </c>
      <c r="B709" s="30" t="s">
        <v>609</v>
      </c>
      <c r="H709" s="4" t="s">
        <v>484</v>
      </c>
      <c r="I709" s="4" t="s">
        <v>486</v>
      </c>
      <c r="J709" s="4" t="s">
        <v>485</v>
      </c>
      <c r="K709" s="4" t="s">
        <v>487</v>
      </c>
      <c r="L709" s="4" t="s">
        <v>488</v>
      </c>
      <c r="M709" s="4" t="s">
        <v>489</v>
      </c>
      <c r="N709" s="4" t="s">
        <v>490</v>
      </c>
      <c r="O709" s="4" t="s">
        <v>491</v>
      </c>
      <c r="P709" s="4" t="s">
        <v>494</v>
      </c>
      <c r="Q709" s="4" t="s">
        <v>492</v>
      </c>
      <c r="R709" s="4" t="s">
        <v>495</v>
      </c>
      <c r="S709" s="4" t="s">
        <v>493</v>
      </c>
      <c r="T709" s="4" t="s">
        <v>515</v>
      </c>
      <c r="U709" s="4" t="s">
        <v>517</v>
      </c>
      <c r="V709" s="4" t="s">
        <v>518</v>
      </c>
      <c r="W709" s="4" t="s">
        <v>516</v>
      </c>
      <c r="X709" s="4" t="s">
        <v>519</v>
      </c>
      <c r="Y709" s="4" t="s">
        <v>520</v>
      </c>
      <c r="Z709" s="4" t="s">
        <v>521</v>
      </c>
      <c r="AA709" s="4" t="s">
        <v>522</v>
      </c>
      <c r="AB709" s="4" t="s">
        <v>523</v>
      </c>
      <c r="AC709" s="4" t="s">
        <v>524</v>
      </c>
      <c r="AD709" s="4" t="s">
        <v>525</v>
      </c>
      <c r="AE709" s="4" t="s">
        <v>526</v>
      </c>
      <c r="AF709" s="2"/>
    </row>
    <row r="710" spans="1:33">
      <c r="A710" s="3" t="s">
        <v>722</v>
      </c>
      <c r="G710" t="s">
        <v>535</v>
      </c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2"/>
    </row>
    <row r="711" spans="1:33">
      <c r="A711" t="s">
        <v>561</v>
      </c>
      <c r="B711" s="11"/>
      <c r="C711" s="11"/>
      <c r="D711" s="5" t="s">
        <v>35</v>
      </c>
      <c r="E711" s="12"/>
      <c r="F711" s="6"/>
      <c r="G711" s="2">
        <f>SUM(H711:AE711)/48</f>
        <v>148.9983363303335</v>
      </c>
      <c r="H711" s="2">
        <f>H$68</f>
        <v>30.059477118454481</v>
      </c>
      <c r="I711" s="2">
        <f t="shared" ref="I711:AE711" si="218">I$68</f>
        <v>90.834482434472207</v>
      </c>
      <c r="J711" s="2">
        <f t="shared" si="218"/>
        <v>150.00680326145888</v>
      </c>
      <c r="K711" s="2">
        <f t="shared" si="218"/>
        <v>206.77354127794865</v>
      </c>
      <c r="L711" s="2">
        <f t="shared" si="218"/>
        <v>259.89902118134938</v>
      </c>
      <c r="M711" s="2">
        <f t="shared" si="218"/>
        <v>308.43790248261479</v>
      </c>
      <c r="N711" s="2">
        <f t="shared" si="218"/>
        <v>351.73108718254247</v>
      </c>
      <c r="O711" s="2">
        <f t="shared" si="218"/>
        <v>389.16392733425664</v>
      </c>
      <c r="P711" s="2">
        <f t="shared" si="218"/>
        <v>419.70239577102939</v>
      </c>
      <c r="Q711" s="2">
        <f t="shared" si="218"/>
        <v>443.24653009656163</v>
      </c>
      <c r="R711" s="2">
        <f t="shared" si="218"/>
        <v>459.01179229965777</v>
      </c>
      <c r="S711" s="2">
        <f t="shared" si="218"/>
        <v>467.09311148765767</v>
      </c>
      <c r="T711" s="2">
        <f t="shared" si="218"/>
        <v>467.09311148765767</v>
      </c>
      <c r="U711" s="2">
        <f t="shared" si="218"/>
        <v>459.01179229965777</v>
      </c>
      <c r="V711" s="2">
        <f t="shared" si="218"/>
        <v>443.24653009656163</v>
      </c>
      <c r="W711" s="2">
        <f t="shared" si="218"/>
        <v>419.70239577102939</v>
      </c>
      <c r="X711" s="2">
        <f t="shared" si="218"/>
        <v>389.16392733425664</v>
      </c>
      <c r="Y711" s="2">
        <f t="shared" si="218"/>
        <v>351.73108718254247</v>
      </c>
      <c r="Z711" s="2">
        <f t="shared" si="218"/>
        <v>308.43790248261479</v>
      </c>
      <c r="AA711" s="2">
        <f t="shared" si="218"/>
        <v>259.89902118134938</v>
      </c>
      <c r="AB711" s="2">
        <f t="shared" si="218"/>
        <v>206.77354127794865</v>
      </c>
      <c r="AC711" s="2">
        <f t="shared" si="218"/>
        <v>150.00680326145888</v>
      </c>
      <c r="AD711" s="2">
        <f t="shared" si="218"/>
        <v>90.834482434472207</v>
      </c>
      <c r="AE711" s="2">
        <f t="shared" si="218"/>
        <v>30.059477118454481</v>
      </c>
      <c r="AF711" s="2"/>
    </row>
    <row r="712" spans="1:33">
      <c r="A712" s="20" t="s">
        <v>824</v>
      </c>
      <c r="B712" s="11"/>
      <c r="C712" s="11"/>
      <c r="D712" t="s">
        <v>36</v>
      </c>
      <c r="E712" s="12"/>
      <c r="F712" s="18"/>
      <c r="G712" s="19">
        <f>SUM(H712:AE712)/48</f>
        <v>104.29883543123344</v>
      </c>
      <c r="H712" s="2">
        <f>H$68*$T$20</f>
        <v>21.041633982918135</v>
      </c>
      <c r="I712" s="2">
        <f t="shared" ref="I712:AE712" si="219">I$68*$T$20</f>
        <v>63.584137704130541</v>
      </c>
      <c r="J712" s="2">
        <f t="shared" si="219"/>
        <v>105.00476228302121</v>
      </c>
      <c r="K712" s="2">
        <f t="shared" si="219"/>
        <v>144.74147889456404</v>
      </c>
      <c r="L712" s="2">
        <f t="shared" si="219"/>
        <v>181.92931482694456</v>
      </c>
      <c r="M712" s="2">
        <f t="shared" si="219"/>
        <v>215.90653173783033</v>
      </c>
      <c r="N712" s="2">
        <f t="shared" si="219"/>
        <v>246.21176102777972</v>
      </c>
      <c r="O712" s="2">
        <f t="shared" si="219"/>
        <v>272.41474913397963</v>
      </c>
      <c r="P712" s="2">
        <f t="shared" si="219"/>
        <v>293.79167703972053</v>
      </c>
      <c r="Q712" s="2">
        <f t="shared" si="219"/>
        <v>310.27257106759311</v>
      </c>
      <c r="R712" s="2">
        <f t="shared" si="219"/>
        <v>321.30825460976041</v>
      </c>
      <c r="S712" s="2">
        <f t="shared" si="219"/>
        <v>326.96517804136033</v>
      </c>
      <c r="T712" s="2">
        <f t="shared" si="219"/>
        <v>326.96517804136033</v>
      </c>
      <c r="U712" s="2">
        <f t="shared" si="219"/>
        <v>321.30825460976041</v>
      </c>
      <c r="V712" s="2">
        <f t="shared" si="219"/>
        <v>310.27257106759311</v>
      </c>
      <c r="W712" s="2">
        <f t="shared" si="219"/>
        <v>293.79167703972053</v>
      </c>
      <c r="X712" s="2">
        <f t="shared" si="219"/>
        <v>272.41474913397963</v>
      </c>
      <c r="Y712" s="2">
        <f t="shared" si="219"/>
        <v>246.21176102777972</v>
      </c>
      <c r="Z712" s="2">
        <f t="shared" si="219"/>
        <v>215.90653173783033</v>
      </c>
      <c r="AA712" s="2">
        <f t="shared" si="219"/>
        <v>181.92931482694456</v>
      </c>
      <c r="AB712" s="2">
        <f t="shared" si="219"/>
        <v>144.74147889456404</v>
      </c>
      <c r="AC712" s="2">
        <f t="shared" si="219"/>
        <v>105.00476228302121</v>
      </c>
      <c r="AD712" s="2">
        <f t="shared" si="219"/>
        <v>63.584137704130541</v>
      </c>
      <c r="AE712" s="2">
        <f t="shared" si="219"/>
        <v>21.041633982918135</v>
      </c>
      <c r="AF712" s="2"/>
    </row>
    <row r="713" spans="1:33">
      <c r="A713" s="20"/>
      <c r="B713" s="5" t="s">
        <v>38</v>
      </c>
      <c r="C713" s="11"/>
      <c r="D713" t="s">
        <v>777</v>
      </c>
      <c r="E713" s="12"/>
      <c r="F713" s="18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3">
      <c r="A714" s="20" t="s">
        <v>825</v>
      </c>
      <c r="D714" t="s">
        <v>37</v>
      </c>
      <c r="G714" s="19">
        <f>SUM(H714:AE714)/24</f>
        <v>316.61059493700014</v>
      </c>
      <c r="H714" s="2">
        <f>$T$24</f>
        <v>316.61059493700003</v>
      </c>
      <c r="I714" s="2">
        <f t="shared" ref="I714:AE714" si="220">$T$24</f>
        <v>316.61059493700003</v>
      </c>
      <c r="J714" s="2">
        <f t="shared" si="220"/>
        <v>316.61059493700003</v>
      </c>
      <c r="K714" s="2">
        <f t="shared" si="220"/>
        <v>316.61059493700003</v>
      </c>
      <c r="L714" s="2">
        <f t="shared" si="220"/>
        <v>316.61059493700003</v>
      </c>
      <c r="M714" s="2">
        <f t="shared" si="220"/>
        <v>316.61059493700003</v>
      </c>
      <c r="N714" s="2">
        <f t="shared" si="220"/>
        <v>316.61059493700003</v>
      </c>
      <c r="O714" s="2">
        <f t="shared" si="220"/>
        <v>316.61059493700003</v>
      </c>
      <c r="P714" s="2">
        <f t="shared" si="220"/>
        <v>316.61059493700003</v>
      </c>
      <c r="Q714" s="2">
        <f t="shared" si="220"/>
        <v>316.61059493700003</v>
      </c>
      <c r="R714" s="2">
        <f t="shared" si="220"/>
        <v>316.61059493700003</v>
      </c>
      <c r="S714" s="2">
        <f t="shared" si="220"/>
        <v>316.61059493700003</v>
      </c>
      <c r="T714" s="2">
        <f t="shared" si="220"/>
        <v>316.61059493700003</v>
      </c>
      <c r="U714" s="2">
        <f t="shared" si="220"/>
        <v>316.61059493700003</v>
      </c>
      <c r="V714" s="2">
        <f t="shared" si="220"/>
        <v>316.61059493700003</v>
      </c>
      <c r="W714" s="2">
        <f t="shared" si="220"/>
        <v>316.61059493700003</v>
      </c>
      <c r="X714" s="2">
        <f t="shared" si="220"/>
        <v>316.61059493700003</v>
      </c>
      <c r="Y714" s="2">
        <f t="shared" si="220"/>
        <v>316.61059493700003</v>
      </c>
      <c r="Z714" s="2">
        <f t="shared" si="220"/>
        <v>316.61059493700003</v>
      </c>
      <c r="AA714" s="2">
        <f t="shared" si="220"/>
        <v>316.61059493700003</v>
      </c>
      <c r="AB714" s="2">
        <f t="shared" si="220"/>
        <v>316.61059493700003</v>
      </c>
      <c r="AC714" s="2">
        <f t="shared" si="220"/>
        <v>316.61059493700003</v>
      </c>
      <c r="AD714" s="2">
        <f t="shared" si="220"/>
        <v>316.61059493700003</v>
      </c>
      <c r="AE714" s="2">
        <f t="shared" si="220"/>
        <v>316.61059493700003</v>
      </c>
      <c r="AF714" s="2"/>
    </row>
    <row r="715" spans="1:33">
      <c r="A715" s="20"/>
      <c r="B715" s="16" t="s">
        <v>720</v>
      </c>
      <c r="G715" s="32">
        <f>G712+G714</f>
        <v>420.90943036823359</v>
      </c>
      <c r="H715" s="3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3">
      <c r="A716" s="39" t="s">
        <v>511</v>
      </c>
      <c r="B716" s="16"/>
      <c r="F716" s="12"/>
      <c r="G716" s="32"/>
      <c r="H716" s="3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3">
      <c r="A717" s="3" t="s">
        <v>324</v>
      </c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3" s="27" customFormat="1">
      <c r="A718" s="27" t="s">
        <v>1031</v>
      </c>
      <c r="G718" s="55"/>
      <c r="H718" s="101">
        <f ca="1">Tabelle3!D$37</f>
        <v>0.89877934568799511</v>
      </c>
      <c r="I718" s="101">
        <f ca="1">Tabelle3!E$37</f>
        <v>0.54043977688093425</v>
      </c>
      <c r="J718" s="101">
        <f ca="1">Tabelle3!F$37</f>
        <v>0.37516814464136511</v>
      </c>
      <c r="K718" s="101">
        <f ca="1">Tabelle3!G$37</f>
        <v>0.29176961158664089</v>
      </c>
      <c r="L718" s="101">
        <f ca="1">Tabelle3!H$37</f>
        <v>0.2367488774032708</v>
      </c>
      <c r="M718" s="101">
        <f ca="1">Tabelle3!I$37</f>
        <v>0.20646175666497443</v>
      </c>
      <c r="N718" s="101">
        <f ca="1">Tabelle3!J$37</f>
        <v>0.18193363861221898</v>
      </c>
      <c r="O718" s="101">
        <f ca="1">Tabelle3!K$37</f>
        <v>0.1684383326538863</v>
      </c>
      <c r="P718" s="101">
        <f ca="1">Tabelle3!L$37</f>
        <v>0.15734403205010361</v>
      </c>
      <c r="Q718" s="101">
        <f ca="1">Tabelle3!M$37</f>
        <v>0.14873353008895882</v>
      </c>
      <c r="R718" s="101">
        <f ca="1">Tabelle3!N$37</f>
        <v>0.1429379999228037</v>
      </c>
      <c r="S718" s="101">
        <f ca="1">Tabelle3!O$37</f>
        <v>0.13995744155163817</v>
      </c>
      <c r="T718" s="101">
        <f ca="1">Tabelle3!P$37</f>
        <v>0.13995744155163817</v>
      </c>
      <c r="U718" s="101">
        <f ca="1">Tabelle3!Q$37</f>
        <v>0.1429379999228037</v>
      </c>
      <c r="V718" s="101">
        <f ca="1">Tabelle3!R$37</f>
        <v>0.14873353008895882</v>
      </c>
      <c r="W718" s="101">
        <f ca="1">Tabelle3!S$37</f>
        <v>0.15734403205010361</v>
      </c>
      <c r="X718" s="101">
        <f ca="1">Tabelle3!T$37</f>
        <v>0.1684383326538863</v>
      </c>
      <c r="Y718" s="101">
        <f ca="1">Tabelle3!U$37</f>
        <v>0.18193363861221898</v>
      </c>
      <c r="Z718" s="101">
        <f ca="1">Tabelle3!V$37</f>
        <v>0.20646175666497443</v>
      </c>
      <c r="AA718" s="101">
        <f ca="1">Tabelle3!W$37</f>
        <v>0.2367488774032708</v>
      </c>
      <c r="AB718" s="101">
        <f ca="1">Tabelle3!X$37</f>
        <v>0.29176961158664089</v>
      </c>
      <c r="AC718" s="101">
        <f ca="1">Tabelle3!Y$37</f>
        <v>0.37516814464136511</v>
      </c>
      <c r="AD718" s="101">
        <f ca="1">Tabelle3!Z$37</f>
        <v>0.54043977688093425</v>
      </c>
      <c r="AE718" s="101">
        <f ca="1">Tabelle3!AA$37</f>
        <v>0.89877934568799511</v>
      </c>
      <c r="AF718" s="55"/>
    </row>
    <row r="719" spans="1:33" s="27" customFormat="1">
      <c r="A719" s="27" t="s">
        <v>830</v>
      </c>
      <c r="F719" s="10">
        <f ca="1">Tabelle3!N$80</f>
        <v>1.9907587298357079</v>
      </c>
      <c r="H719" s="107">
        <f ca="1">$F$11*$F$142</f>
        <v>9.9537936491785398E-2</v>
      </c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55"/>
    </row>
    <row r="720" spans="1:33" ht="15" customHeight="1">
      <c r="A720" s="3" t="s">
        <v>831</v>
      </c>
      <c r="B720" s="11"/>
      <c r="C720" s="11"/>
      <c r="D720" s="11"/>
      <c r="E720" s="27"/>
      <c r="F720" s="6"/>
      <c r="G720" s="19">
        <f>SUM(H720:AE720)/48</f>
        <v>14.800319988010564</v>
      </c>
      <c r="H720" s="24">
        <f>H$68*H$718*$F$16</f>
        <v>13.50841858812389</v>
      </c>
      <c r="I720" s="24">
        <f t="shared" ref="I720:AE720" si="221">I$68*I$718*$F$16</f>
        <v>24.545283709990649</v>
      </c>
      <c r="J720" s="24">
        <f t="shared" si="221"/>
        <v>28.138887031591903</v>
      </c>
      <c r="K720" s="24">
        <f t="shared" si="221"/>
        <v>30.165117912530668</v>
      </c>
      <c r="L720" s="24">
        <f t="shared" si="221"/>
        <v>30.765400751446684</v>
      </c>
      <c r="M720" s="24">
        <f t="shared" si="221"/>
        <v>31.840315584310364</v>
      </c>
      <c r="N720" s="24">
        <f t="shared" si="221"/>
        <v>31.995858252075784</v>
      </c>
      <c r="O720" s="24">
        <f t="shared" si="221"/>
        <v>32.77506152461018</v>
      </c>
      <c r="P720" s="24">
        <f t="shared" si="221"/>
        <v>33.018833605851057</v>
      </c>
      <c r="Q720" s="24">
        <f t="shared" si="221"/>
        <v>32.962810560471766</v>
      </c>
      <c r="R720" s="24">
        <f t="shared" si="221"/>
        <v>32.805113766147237</v>
      </c>
      <c r="S720" s="24">
        <f t="shared" si="221"/>
        <v>32.686578425103328</v>
      </c>
      <c r="T720" s="24">
        <f t="shared" si="221"/>
        <v>32.686578425103328</v>
      </c>
      <c r="U720" s="24">
        <f t="shared" si="221"/>
        <v>32.805113766147237</v>
      </c>
      <c r="V720" s="24">
        <f t="shared" si="221"/>
        <v>32.962810560471766</v>
      </c>
      <c r="W720" s="24">
        <f t="shared" si="221"/>
        <v>33.018833605851057</v>
      </c>
      <c r="X720" s="24">
        <f t="shared" si="221"/>
        <v>32.77506152461018</v>
      </c>
      <c r="Y720" s="24">
        <f t="shared" si="221"/>
        <v>31.995858252075784</v>
      </c>
      <c r="Z720" s="24">
        <f t="shared" si="221"/>
        <v>31.840315584310364</v>
      </c>
      <c r="AA720" s="24">
        <f t="shared" si="221"/>
        <v>30.765400751446684</v>
      </c>
      <c r="AB720" s="24">
        <f t="shared" si="221"/>
        <v>30.165117912530668</v>
      </c>
      <c r="AC720" s="24">
        <f t="shared" si="221"/>
        <v>28.138887031591903</v>
      </c>
      <c r="AD720" s="24">
        <f t="shared" si="221"/>
        <v>24.545283709990649</v>
      </c>
      <c r="AE720" s="24">
        <f t="shared" si="221"/>
        <v>13.50841858812389</v>
      </c>
      <c r="AF720" s="28"/>
      <c r="AG720" s="11"/>
    </row>
    <row r="721" spans="1:33">
      <c r="A721" s="3"/>
      <c r="B721" s="5" t="s">
        <v>52</v>
      </c>
      <c r="C721" s="11"/>
      <c r="D721" t="s">
        <v>63</v>
      </c>
      <c r="F721" s="27"/>
      <c r="G721" t="s">
        <v>854</v>
      </c>
      <c r="AF721" s="28"/>
      <c r="AG721" s="11"/>
    </row>
    <row r="722" spans="1:33">
      <c r="A722" s="3"/>
      <c r="C722" s="11"/>
      <c r="D722" s="2" t="s">
        <v>39</v>
      </c>
      <c r="F722" s="27"/>
      <c r="G722" s="2"/>
      <c r="AF722" s="28"/>
      <c r="AG722" s="11"/>
    </row>
    <row r="723" spans="1:33">
      <c r="A723" t="s">
        <v>879</v>
      </c>
      <c r="C723" s="11"/>
      <c r="G723" s="98">
        <f>SUM(H723:AE723)/48</f>
        <v>133.9020099425627</v>
      </c>
      <c r="H723" s="97">
        <f>H$68*(1-($F$16+$F$13)*H$718)</f>
        <v>16.280890158568113</v>
      </c>
      <c r="I723" s="97">
        <f t="shared" ref="I723:AE723" si="222">I$68*(1-($F$16+$F$13)*I$718)</f>
        <v>65.798293050281742</v>
      </c>
      <c r="J723" s="97">
        <f t="shared" si="222"/>
        <v>121.30513848923515</v>
      </c>
      <c r="K723" s="97">
        <f t="shared" si="222"/>
        <v>176.00512100716736</v>
      </c>
      <c r="L723" s="97">
        <f t="shared" si="222"/>
        <v>228.51831241487375</v>
      </c>
      <c r="M723" s="97">
        <f t="shared" si="222"/>
        <v>275.96078058661823</v>
      </c>
      <c r="N723" s="97">
        <f t="shared" si="222"/>
        <v>319.09531176542515</v>
      </c>
      <c r="O723" s="97">
        <f t="shared" si="222"/>
        <v>355.73336457915428</v>
      </c>
      <c r="P723" s="97">
        <f t="shared" si="222"/>
        <v>386.02318549306131</v>
      </c>
      <c r="Q723" s="97">
        <f t="shared" si="222"/>
        <v>409.62446332488042</v>
      </c>
      <c r="R723" s="97">
        <f t="shared" si="222"/>
        <v>425.55057625818762</v>
      </c>
      <c r="S723" s="97">
        <f t="shared" si="222"/>
        <v>433.75280149405228</v>
      </c>
      <c r="T723" s="97">
        <f t="shared" si="222"/>
        <v>433.75280149405228</v>
      </c>
      <c r="U723" s="97">
        <f t="shared" si="222"/>
        <v>425.55057625818762</v>
      </c>
      <c r="V723" s="97">
        <f t="shared" si="222"/>
        <v>409.62446332488042</v>
      </c>
      <c r="W723" s="97">
        <f t="shared" si="222"/>
        <v>386.02318549306131</v>
      </c>
      <c r="X723" s="97">
        <f t="shared" si="222"/>
        <v>355.73336457915428</v>
      </c>
      <c r="Y723" s="97">
        <f t="shared" si="222"/>
        <v>319.09531176542515</v>
      </c>
      <c r="Z723" s="97">
        <f t="shared" si="222"/>
        <v>275.96078058661823</v>
      </c>
      <c r="AA723" s="97">
        <f t="shared" si="222"/>
        <v>228.51831241487375</v>
      </c>
      <c r="AB723" s="97">
        <f t="shared" si="222"/>
        <v>176.00512100716736</v>
      </c>
      <c r="AC723" s="97">
        <f t="shared" si="222"/>
        <v>121.30513848923515</v>
      </c>
      <c r="AD723" s="97">
        <f t="shared" si="222"/>
        <v>65.798293050281742</v>
      </c>
      <c r="AE723" s="97">
        <f t="shared" si="222"/>
        <v>16.280890158568113</v>
      </c>
      <c r="AF723" s="28"/>
      <c r="AG723" s="11"/>
    </row>
    <row r="724" spans="1:33">
      <c r="B724" s="24" t="s">
        <v>53</v>
      </c>
      <c r="D724" s="2" t="s">
        <v>57</v>
      </c>
      <c r="E724" s="24" t="s">
        <v>900</v>
      </c>
      <c r="H724" t="s">
        <v>853</v>
      </c>
      <c r="AF724" s="28"/>
      <c r="AG724" s="11"/>
    </row>
    <row r="725" spans="1:33">
      <c r="A725" t="s">
        <v>832</v>
      </c>
      <c r="C725" s="11"/>
      <c r="D725" s="24"/>
      <c r="G725" s="97">
        <f>SUM(H725:AE725)/48</f>
        <v>93.731406959793915</v>
      </c>
      <c r="H725" s="97">
        <f>H723*$T$20</f>
        <v>11.396623110997679</v>
      </c>
      <c r="I725" s="97">
        <f t="shared" ref="I725:AE725" si="223">I723*$T$20</f>
        <v>46.058805135197218</v>
      </c>
      <c r="J725" s="97">
        <f t="shared" si="223"/>
        <v>84.913596942464594</v>
      </c>
      <c r="K725" s="97">
        <f t="shared" si="223"/>
        <v>123.20358470501715</v>
      </c>
      <c r="L725" s="97">
        <f t="shared" si="223"/>
        <v>159.96281869041161</v>
      </c>
      <c r="M725" s="97">
        <f t="shared" si="223"/>
        <v>193.17254641063275</v>
      </c>
      <c r="N725" s="97">
        <f t="shared" si="223"/>
        <v>223.36671823579761</v>
      </c>
      <c r="O725" s="97">
        <f t="shared" si="223"/>
        <v>249.01335520540798</v>
      </c>
      <c r="P725" s="97">
        <f t="shared" si="223"/>
        <v>270.21622984514289</v>
      </c>
      <c r="Q725" s="97">
        <f t="shared" si="223"/>
        <v>286.73712432741627</v>
      </c>
      <c r="R725" s="97">
        <f t="shared" si="223"/>
        <v>297.8854033807313</v>
      </c>
      <c r="S725" s="97">
        <f t="shared" si="223"/>
        <v>303.62696104583659</v>
      </c>
      <c r="T725" s="97">
        <f t="shared" si="223"/>
        <v>303.62696104583659</v>
      </c>
      <c r="U725" s="97">
        <f t="shared" si="223"/>
        <v>297.8854033807313</v>
      </c>
      <c r="V725" s="97">
        <f t="shared" si="223"/>
        <v>286.73712432741627</v>
      </c>
      <c r="W725" s="97">
        <f t="shared" si="223"/>
        <v>270.21622984514289</v>
      </c>
      <c r="X725" s="97">
        <f t="shared" si="223"/>
        <v>249.01335520540798</v>
      </c>
      <c r="Y725" s="97">
        <f t="shared" si="223"/>
        <v>223.36671823579761</v>
      </c>
      <c r="Z725" s="97">
        <f t="shared" si="223"/>
        <v>193.17254641063275</v>
      </c>
      <c r="AA725" s="97">
        <f t="shared" si="223"/>
        <v>159.96281869041161</v>
      </c>
      <c r="AB725" s="97">
        <f t="shared" si="223"/>
        <v>123.20358470501715</v>
      </c>
      <c r="AC725" s="97">
        <f t="shared" si="223"/>
        <v>84.913596942464594</v>
      </c>
      <c r="AD725" s="97">
        <f t="shared" si="223"/>
        <v>46.058805135197218</v>
      </c>
      <c r="AE725" s="97">
        <f t="shared" si="223"/>
        <v>11.396623110997679</v>
      </c>
      <c r="AF725" s="28"/>
      <c r="AG725" s="11"/>
    </row>
    <row r="726" spans="1:33">
      <c r="B726" s="24" t="s">
        <v>912</v>
      </c>
      <c r="C726" s="14" t="s">
        <v>65</v>
      </c>
      <c r="D726" s="24" t="s">
        <v>70</v>
      </c>
      <c r="AF726" s="28"/>
      <c r="AG726" s="11"/>
    </row>
    <row r="727" spans="1:33">
      <c r="A727" s="20" t="s">
        <v>833</v>
      </c>
      <c r="B727" s="11"/>
      <c r="C727" s="11"/>
      <c r="D727" s="11"/>
      <c r="E727" s="27"/>
      <c r="F727" s="6"/>
      <c r="G727" s="19">
        <f>SUM(H727:AE727)/48</f>
        <v>88.973193234836572</v>
      </c>
      <c r="H727" s="24">
        <f>H725*(1-($F$16+$F$13)*$H$719)</f>
        <v>10.818080973801594</v>
      </c>
      <c r="I727" s="24">
        <f t="shared" ref="I727:AE727" si="224">I725*(1-($F$16+$F$13)*$H$719)</f>
        <v>43.720659940775477</v>
      </c>
      <c r="J727" s="24">
        <f t="shared" si="224"/>
        <v>80.603013590393061</v>
      </c>
      <c r="K727" s="24">
        <f t="shared" si="224"/>
        <v>116.94923510415371</v>
      </c>
      <c r="L727" s="24">
        <f t="shared" si="224"/>
        <v>151.84241055760648</v>
      </c>
      <c r="M727" s="24">
        <f t="shared" si="224"/>
        <v>183.36626811577793</v>
      </c>
      <c r="N727" s="24">
        <f t="shared" si="224"/>
        <v>212.02765250658959</v>
      </c>
      <c r="O727" s="24">
        <f t="shared" si="224"/>
        <v>236.37235468202638</v>
      </c>
      <c r="P727" s="24">
        <f t="shared" si="224"/>
        <v>256.49887922320136</v>
      </c>
      <c r="Q727" s="24">
        <f t="shared" si="224"/>
        <v>272.18110127513506</v>
      </c>
      <c r="R727" s="24">
        <f t="shared" si="224"/>
        <v>282.76344521532531</v>
      </c>
      <c r="S727" s="24">
        <f t="shared" si="224"/>
        <v>288.2135364512917</v>
      </c>
      <c r="T727" s="24">
        <f t="shared" si="224"/>
        <v>288.2135364512917</v>
      </c>
      <c r="U727" s="24">
        <f t="shared" si="224"/>
        <v>282.76344521532531</v>
      </c>
      <c r="V727" s="24">
        <f t="shared" si="224"/>
        <v>272.18110127513506</v>
      </c>
      <c r="W727" s="24">
        <f t="shared" si="224"/>
        <v>256.49887922320136</v>
      </c>
      <c r="X727" s="24">
        <f t="shared" si="224"/>
        <v>236.37235468202638</v>
      </c>
      <c r="Y727" s="24">
        <f t="shared" si="224"/>
        <v>212.02765250658959</v>
      </c>
      <c r="Z727" s="24">
        <f t="shared" si="224"/>
        <v>183.36626811577793</v>
      </c>
      <c r="AA727" s="24">
        <f t="shared" si="224"/>
        <v>151.84241055760648</v>
      </c>
      <c r="AB727" s="24">
        <f t="shared" si="224"/>
        <v>116.94923510415371</v>
      </c>
      <c r="AC727" s="24">
        <f t="shared" si="224"/>
        <v>80.603013590393061</v>
      </c>
      <c r="AD727" s="24">
        <f t="shared" si="224"/>
        <v>43.720659940775477</v>
      </c>
      <c r="AE727" s="24">
        <f t="shared" si="224"/>
        <v>10.818080973801594</v>
      </c>
      <c r="AF727" s="28"/>
      <c r="AG727" s="11"/>
    </row>
    <row r="728" spans="1:33">
      <c r="A728" s="20"/>
      <c r="B728" s="24" t="s">
        <v>71</v>
      </c>
      <c r="C728" s="11"/>
      <c r="D728" t="s">
        <v>42</v>
      </c>
      <c r="G728" s="27"/>
      <c r="H728" s="24" t="s">
        <v>900</v>
      </c>
      <c r="K728" t="s">
        <v>853</v>
      </c>
      <c r="M728" s="28"/>
      <c r="O728" s="28"/>
      <c r="P728" s="28"/>
      <c r="Q728" s="11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11"/>
    </row>
    <row r="729" spans="1:33">
      <c r="A729" t="s">
        <v>834</v>
      </c>
      <c r="B729" s="5"/>
      <c r="C729" s="11"/>
      <c r="D729" s="5" t="s">
        <v>58</v>
      </c>
      <c r="F729" t="s">
        <v>74</v>
      </c>
      <c r="G729" s="97">
        <f>SUM(H729:AE729)/48</f>
        <v>4.6649154166248277</v>
      </c>
      <c r="H729" s="97">
        <f>H725*$H$719*$F$16</f>
        <v>0.56719817372165038</v>
      </c>
      <c r="I729" s="97">
        <f t="shared" ref="I729:AE729" si="225">I725*$H$719*$F$16</f>
        <v>2.29229921021739</v>
      </c>
      <c r="J729" s="97">
        <f t="shared" si="225"/>
        <v>4.2260621098740518</v>
      </c>
      <c r="K729" s="97">
        <f t="shared" si="225"/>
        <v>6.1317152949641498</v>
      </c>
      <c r="L729" s="97">
        <f t="shared" si="225"/>
        <v>7.9611844439265864</v>
      </c>
      <c r="M729" s="97">
        <f t="shared" si="225"/>
        <v>9.6139983282890142</v>
      </c>
      <c r="N729" s="97">
        <f t="shared" si="225"/>
        <v>11.116731107066673</v>
      </c>
      <c r="O729" s="97">
        <f t="shared" si="225"/>
        <v>12.393137768021148</v>
      </c>
      <c r="P729" s="97">
        <f t="shared" si="225"/>
        <v>13.448382962687759</v>
      </c>
      <c r="Q729" s="97">
        <f t="shared" si="225"/>
        <v>14.270610835569768</v>
      </c>
      <c r="R729" s="97">
        <f t="shared" si="225"/>
        <v>14.825449181770553</v>
      </c>
      <c r="S729" s="97">
        <f t="shared" si="225"/>
        <v>15.111200582887141</v>
      </c>
      <c r="T729" s="97">
        <f t="shared" si="225"/>
        <v>15.111200582887141</v>
      </c>
      <c r="U729" s="97">
        <f t="shared" si="225"/>
        <v>14.825449181770553</v>
      </c>
      <c r="V729" s="97">
        <f t="shared" si="225"/>
        <v>14.270610835569768</v>
      </c>
      <c r="W729" s="97">
        <f t="shared" si="225"/>
        <v>13.448382962687759</v>
      </c>
      <c r="X729" s="97">
        <f t="shared" si="225"/>
        <v>12.393137768021148</v>
      </c>
      <c r="Y729" s="97">
        <f t="shared" si="225"/>
        <v>11.116731107066673</v>
      </c>
      <c r="Z729" s="97">
        <f t="shared" si="225"/>
        <v>9.6139983282890142</v>
      </c>
      <c r="AA729" s="97">
        <f t="shared" si="225"/>
        <v>7.9611844439265864</v>
      </c>
      <c r="AB729" s="97">
        <f t="shared" si="225"/>
        <v>6.1317152949641498</v>
      </c>
      <c r="AC729" s="97">
        <f t="shared" si="225"/>
        <v>4.2260621098740518</v>
      </c>
      <c r="AD729" s="97">
        <f t="shared" si="225"/>
        <v>2.29229921021739</v>
      </c>
      <c r="AE729" s="97">
        <f t="shared" si="225"/>
        <v>0.56719817372165038</v>
      </c>
      <c r="AF729" s="28"/>
      <c r="AG729" s="11"/>
    </row>
    <row r="730" spans="1:33">
      <c r="A730" t="s">
        <v>909</v>
      </c>
      <c r="B730" s="5"/>
      <c r="C730" s="11"/>
      <c r="D730" s="5" t="s">
        <v>75</v>
      </c>
      <c r="G730" s="97">
        <f>SUM(H730:AE730)/48</f>
        <v>3.26544079163738</v>
      </c>
      <c r="H730" s="97">
        <f>H729*$T$20</f>
        <v>0.39703872160515524</v>
      </c>
      <c r="I730" s="97">
        <f t="shared" ref="I730:AE730" si="226">I729*$T$20</f>
        <v>1.604609447152173</v>
      </c>
      <c r="J730" s="97">
        <f t="shared" si="226"/>
        <v>2.9582434769118362</v>
      </c>
      <c r="K730" s="97">
        <f t="shared" si="226"/>
        <v>4.2922007064749046</v>
      </c>
      <c r="L730" s="97">
        <f t="shared" si="226"/>
        <v>5.5728291107486099</v>
      </c>
      <c r="M730" s="97">
        <f t="shared" si="226"/>
        <v>6.7297988298023093</v>
      </c>
      <c r="N730" s="97">
        <f t="shared" si="226"/>
        <v>7.7817117749466709</v>
      </c>
      <c r="O730" s="97">
        <f t="shared" si="226"/>
        <v>8.6751964376148027</v>
      </c>
      <c r="P730" s="97">
        <f t="shared" si="226"/>
        <v>9.4138680738814315</v>
      </c>
      <c r="Q730" s="97">
        <f t="shared" si="226"/>
        <v>9.9894275848988361</v>
      </c>
      <c r="R730" s="97">
        <f t="shared" si="226"/>
        <v>10.377814427239386</v>
      </c>
      <c r="S730" s="97">
        <f t="shared" si="226"/>
        <v>10.577840408020998</v>
      </c>
      <c r="T730" s="97">
        <f t="shared" si="226"/>
        <v>10.577840408020998</v>
      </c>
      <c r="U730" s="97">
        <f t="shared" si="226"/>
        <v>10.377814427239386</v>
      </c>
      <c r="V730" s="97">
        <f t="shared" si="226"/>
        <v>9.9894275848988361</v>
      </c>
      <c r="W730" s="97">
        <f t="shared" si="226"/>
        <v>9.4138680738814315</v>
      </c>
      <c r="X730" s="97">
        <f t="shared" si="226"/>
        <v>8.6751964376148027</v>
      </c>
      <c r="Y730" s="97">
        <f t="shared" si="226"/>
        <v>7.7817117749466709</v>
      </c>
      <c r="Z730" s="97">
        <f t="shared" si="226"/>
        <v>6.7297988298023093</v>
      </c>
      <c r="AA730" s="97">
        <f t="shared" si="226"/>
        <v>5.5728291107486099</v>
      </c>
      <c r="AB730" s="97">
        <f t="shared" si="226"/>
        <v>4.2922007064749046</v>
      </c>
      <c r="AC730" s="97">
        <f t="shared" si="226"/>
        <v>2.9582434769118362</v>
      </c>
      <c r="AD730" s="97">
        <f t="shared" si="226"/>
        <v>1.604609447152173</v>
      </c>
      <c r="AE730" s="97">
        <f t="shared" si="226"/>
        <v>0.39703872160515524</v>
      </c>
      <c r="AF730" s="28"/>
      <c r="AG730" s="11"/>
    </row>
    <row r="731" spans="1:33">
      <c r="A731" s="20" t="s">
        <v>835</v>
      </c>
      <c r="B731" s="5"/>
      <c r="C731" s="11"/>
      <c r="G731" s="19">
        <f>SUM(H731:AE731)/48</f>
        <v>3.0996728201881782</v>
      </c>
      <c r="H731" s="24">
        <f>H730*(1-($F$16+$F$13)*$H$719)</f>
        <v>0.37688330992663926</v>
      </c>
      <c r="I731" s="24">
        <f t="shared" ref="I731:AE731" si="227">I730*(1-($F$16+$F$13)*$H$719)</f>
        <v>1.5231524953973494</v>
      </c>
      <c r="J731" s="24">
        <f t="shared" si="227"/>
        <v>2.8080701767324707</v>
      </c>
      <c r="K731" s="24">
        <f t="shared" si="227"/>
        <v>4.0743099377960457</v>
      </c>
      <c r="L731" s="24">
        <f t="shared" si="227"/>
        <v>5.289928076594923</v>
      </c>
      <c r="M731" s="24">
        <f t="shared" si="227"/>
        <v>6.3881649826553986</v>
      </c>
      <c r="N731" s="24">
        <f t="shared" si="227"/>
        <v>7.3866782533961404</v>
      </c>
      <c r="O731" s="24">
        <f t="shared" si="227"/>
        <v>8.2348057500636589</v>
      </c>
      <c r="P731" s="24">
        <f t="shared" si="227"/>
        <v>8.9359792026166023</v>
      </c>
      <c r="Q731" s="24">
        <f t="shared" si="227"/>
        <v>9.4823208105460104</v>
      </c>
      <c r="R731" s="24">
        <f t="shared" si="227"/>
        <v>9.8509914482145202</v>
      </c>
      <c r="S731" s="24">
        <f t="shared" si="227"/>
        <v>10.040863240576542</v>
      </c>
      <c r="T731" s="24">
        <f t="shared" si="227"/>
        <v>10.040863240576542</v>
      </c>
      <c r="U731" s="24">
        <f t="shared" si="227"/>
        <v>9.8509914482145202</v>
      </c>
      <c r="V731" s="24">
        <f t="shared" si="227"/>
        <v>9.4823208105460104</v>
      </c>
      <c r="W731" s="24">
        <f t="shared" si="227"/>
        <v>8.9359792026166023</v>
      </c>
      <c r="X731" s="24">
        <f t="shared" si="227"/>
        <v>8.2348057500636589</v>
      </c>
      <c r="Y731" s="24">
        <f t="shared" si="227"/>
        <v>7.3866782533961404</v>
      </c>
      <c r="Z731" s="24">
        <f t="shared" si="227"/>
        <v>6.3881649826553986</v>
      </c>
      <c r="AA731" s="24">
        <f t="shared" si="227"/>
        <v>5.289928076594923</v>
      </c>
      <c r="AB731" s="24">
        <f t="shared" si="227"/>
        <v>4.0743099377960457</v>
      </c>
      <c r="AC731" s="24">
        <f t="shared" si="227"/>
        <v>2.8080701767324707</v>
      </c>
      <c r="AD731" s="24">
        <f t="shared" si="227"/>
        <v>1.5231524953973494</v>
      </c>
      <c r="AE731" s="24">
        <f t="shared" si="227"/>
        <v>0.37688330992663926</v>
      </c>
      <c r="AF731" s="28"/>
      <c r="AG731" s="11"/>
    </row>
    <row r="732" spans="1:33">
      <c r="A732" s="20"/>
      <c r="B732" s="24" t="s">
        <v>76</v>
      </c>
      <c r="C732" s="11"/>
      <c r="D732" t="s">
        <v>42</v>
      </c>
      <c r="G732" s="27"/>
      <c r="H732" s="24" t="s">
        <v>900</v>
      </c>
      <c r="K732" t="s">
        <v>853</v>
      </c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8"/>
      <c r="AG732" s="11"/>
    </row>
    <row r="733" spans="1:33">
      <c r="A733" s="100" t="s">
        <v>836</v>
      </c>
      <c r="B733" s="5"/>
      <c r="C733" s="11"/>
      <c r="G733" s="19">
        <f>SUM(H733:AE733)/48</f>
        <v>0.1079872627124215</v>
      </c>
      <c r="H733" s="2">
        <f>H731^2/H727</f>
        <v>1.3129965438902092E-2</v>
      </c>
      <c r="I733" s="2">
        <f t="shared" ref="I733:AE733" si="228">I731^2/I727</f>
        <v>5.3064009723958035E-2</v>
      </c>
      <c r="J733" s="2">
        <f t="shared" si="228"/>
        <v>9.7828328820625629E-2</v>
      </c>
      <c r="K733" s="2">
        <f t="shared" si="228"/>
        <v>0.14194194134266749</v>
      </c>
      <c r="L733" s="2">
        <f t="shared" si="228"/>
        <v>0.18429198372697625</v>
      </c>
      <c r="M733" s="2">
        <f t="shared" si="228"/>
        <v>0.22255266611991012</v>
      </c>
      <c r="N733" s="2">
        <f t="shared" si="228"/>
        <v>0.25733914880512904</v>
      </c>
      <c r="O733" s="2">
        <f t="shared" si="228"/>
        <v>0.28688645012020897</v>
      </c>
      <c r="P733" s="2">
        <f t="shared" si="228"/>
        <v>0.31131412562668825</v>
      </c>
      <c r="Q733" s="2">
        <f t="shared" si="228"/>
        <v>0.33034772632220227</v>
      </c>
      <c r="R733" s="2">
        <f t="shared" si="228"/>
        <v>0.34319157640372427</v>
      </c>
      <c r="S733" s="2">
        <f t="shared" si="228"/>
        <v>0.3498063826471236</v>
      </c>
      <c r="T733" s="2">
        <f t="shared" si="228"/>
        <v>0.3498063826471236</v>
      </c>
      <c r="U733" s="2">
        <f t="shared" si="228"/>
        <v>0.34319157640372427</v>
      </c>
      <c r="V733" s="2">
        <f t="shared" si="228"/>
        <v>0.33034772632220227</v>
      </c>
      <c r="W733" s="2">
        <f t="shared" si="228"/>
        <v>0.31131412562668825</v>
      </c>
      <c r="X733" s="2">
        <f t="shared" si="228"/>
        <v>0.28688645012020897</v>
      </c>
      <c r="Y733" s="2">
        <f t="shared" si="228"/>
        <v>0.25733914880512904</v>
      </c>
      <c r="Z733" s="2">
        <f t="shared" si="228"/>
        <v>0.22255266611991012</v>
      </c>
      <c r="AA733" s="2">
        <f t="shared" si="228"/>
        <v>0.18429198372697625</v>
      </c>
      <c r="AB733" s="2">
        <f t="shared" si="228"/>
        <v>0.14194194134266749</v>
      </c>
      <c r="AC733" s="2">
        <f t="shared" si="228"/>
        <v>9.7828328820625629E-2</v>
      </c>
      <c r="AD733" s="2">
        <f t="shared" si="228"/>
        <v>5.3064009723958035E-2</v>
      </c>
      <c r="AE733" s="2">
        <f t="shared" si="228"/>
        <v>1.3129965438902092E-2</v>
      </c>
      <c r="AF733" s="28"/>
      <c r="AG733" s="11"/>
    </row>
    <row r="734" spans="1:33">
      <c r="A734" s="100"/>
      <c r="B734" s="24" t="s">
        <v>77</v>
      </c>
      <c r="C734" s="11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8"/>
      <c r="AG734" s="11"/>
    </row>
    <row r="735" spans="1:33">
      <c r="A735" s="20" t="s">
        <v>837</v>
      </c>
      <c r="B735" s="11"/>
      <c r="C735" s="11"/>
      <c r="D735" s="11"/>
      <c r="E735" s="27"/>
      <c r="F735" s="6"/>
      <c r="G735" s="19">
        <f>SUM(H735:AE735)/24</f>
        <v>285.72612495136394</v>
      </c>
      <c r="H735" s="24">
        <f>$T$24*(1-$H$719*(1-$F$14))</f>
        <v>285.72612495136383</v>
      </c>
      <c r="I735" s="24">
        <f t="shared" ref="I735:AE735" si="229">$T$24*(1-$H$719*(1-$F$14))</f>
        <v>285.72612495136383</v>
      </c>
      <c r="J735" s="24">
        <f t="shared" si="229"/>
        <v>285.72612495136383</v>
      </c>
      <c r="K735" s="24">
        <f t="shared" si="229"/>
        <v>285.72612495136383</v>
      </c>
      <c r="L735" s="24">
        <f t="shared" si="229"/>
        <v>285.72612495136383</v>
      </c>
      <c r="M735" s="24">
        <f t="shared" si="229"/>
        <v>285.72612495136383</v>
      </c>
      <c r="N735" s="24">
        <f t="shared" si="229"/>
        <v>285.72612495136383</v>
      </c>
      <c r="O735" s="24">
        <f t="shared" si="229"/>
        <v>285.72612495136383</v>
      </c>
      <c r="P735" s="24">
        <f t="shared" si="229"/>
        <v>285.72612495136383</v>
      </c>
      <c r="Q735" s="24">
        <f t="shared" si="229"/>
        <v>285.72612495136383</v>
      </c>
      <c r="R735" s="24">
        <f t="shared" si="229"/>
        <v>285.72612495136383</v>
      </c>
      <c r="S735" s="24">
        <f t="shared" si="229"/>
        <v>285.72612495136383</v>
      </c>
      <c r="T735" s="24">
        <f t="shared" si="229"/>
        <v>285.72612495136383</v>
      </c>
      <c r="U735" s="24">
        <f t="shared" si="229"/>
        <v>285.72612495136383</v>
      </c>
      <c r="V735" s="24">
        <f t="shared" si="229"/>
        <v>285.72612495136383</v>
      </c>
      <c r="W735" s="24">
        <f t="shared" si="229"/>
        <v>285.72612495136383</v>
      </c>
      <c r="X735" s="24">
        <f t="shared" si="229"/>
        <v>285.72612495136383</v>
      </c>
      <c r="Y735" s="24">
        <f t="shared" si="229"/>
        <v>285.72612495136383</v>
      </c>
      <c r="Z735" s="24">
        <f t="shared" si="229"/>
        <v>285.72612495136383</v>
      </c>
      <c r="AA735" s="24">
        <f t="shared" si="229"/>
        <v>285.72612495136383</v>
      </c>
      <c r="AB735" s="24">
        <f t="shared" si="229"/>
        <v>285.72612495136383</v>
      </c>
      <c r="AC735" s="24">
        <f t="shared" si="229"/>
        <v>285.72612495136383</v>
      </c>
      <c r="AD735" s="24">
        <f t="shared" si="229"/>
        <v>285.72612495136383</v>
      </c>
      <c r="AE735" s="24">
        <f t="shared" si="229"/>
        <v>285.72612495136383</v>
      </c>
      <c r="AF735" s="28"/>
      <c r="AG735" s="11"/>
    </row>
    <row r="736" spans="1:33">
      <c r="A736" s="20"/>
      <c r="B736" s="5" t="s">
        <v>66</v>
      </c>
      <c r="C736" s="11"/>
      <c r="D736" t="s">
        <v>78</v>
      </c>
      <c r="E736" s="2"/>
      <c r="G736" t="s">
        <v>43</v>
      </c>
      <c r="I736" s="11"/>
      <c r="J736" s="28"/>
      <c r="K736" s="2" t="s">
        <v>844</v>
      </c>
      <c r="L736" s="12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11"/>
    </row>
    <row r="737" spans="1:33">
      <c r="A737" s="12" t="s">
        <v>573</v>
      </c>
      <c r="B737" t="s">
        <v>839</v>
      </c>
      <c r="E737" s="12"/>
      <c r="F737" s="6"/>
      <c r="G737" s="32"/>
      <c r="H737" s="3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3">
      <c r="A738" s="11"/>
      <c r="B738" s="14" t="s">
        <v>870</v>
      </c>
      <c r="E738" s="12"/>
      <c r="F738" s="6"/>
      <c r="G738" s="32"/>
      <c r="H738" s="3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3">
      <c r="A739" s="11"/>
      <c r="B739" s="14" t="s">
        <v>845</v>
      </c>
      <c r="E739" s="12"/>
      <c r="F739" s="6"/>
      <c r="G739" s="32"/>
      <c r="H739" s="3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3">
      <c r="A740" s="11"/>
      <c r="B740" s="14" t="s">
        <v>842</v>
      </c>
      <c r="E740" s="12"/>
      <c r="F740" s="6"/>
      <c r="G740" s="32"/>
      <c r="H740" s="3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3">
      <c r="A741" s="20" t="s">
        <v>914</v>
      </c>
      <c r="B741" s="11"/>
      <c r="C741" s="11"/>
      <c r="D741" s="11"/>
      <c r="E741" s="27"/>
      <c r="F741" s="6"/>
      <c r="G741" s="19">
        <f>SUM(H741:AE741)/24</f>
        <v>12.551783676120003</v>
      </c>
      <c r="H741" s="24">
        <f t="shared" ref="H741:AE741" si="230">$M$9*($F$9+273)^4*$F$11*$H$18</f>
        <v>12.551783676119999</v>
      </c>
      <c r="I741" s="24">
        <f t="shared" si="230"/>
        <v>12.551783676119999</v>
      </c>
      <c r="J741" s="24">
        <f t="shared" si="230"/>
        <v>12.551783676119999</v>
      </c>
      <c r="K741" s="24">
        <f t="shared" si="230"/>
        <v>12.551783676119999</v>
      </c>
      <c r="L741" s="24">
        <f t="shared" si="230"/>
        <v>12.551783676119999</v>
      </c>
      <c r="M741" s="24">
        <f t="shared" si="230"/>
        <v>12.551783676119999</v>
      </c>
      <c r="N741" s="24">
        <f t="shared" si="230"/>
        <v>12.551783676119999</v>
      </c>
      <c r="O741" s="24">
        <f t="shared" si="230"/>
        <v>12.551783676119999</v>
      </c>
      <c r="P741" s="24">
        <f t="shared" si="230"/>
        <v>12.551783676119999</v>
      </c>
      <c r="Q741" s="24">
        <f t="shared" si="230"/>
        <v>12.551783676119999</v>
      </c>
      <c r="R741" s="24">
        <f t="shared" si="230"/>
        <v>12.551783676119999</v>
      </c>
      <c r="S741" s="24">
        <f t="shared" si="230"/>
        <v>12.551783676119999</v>
      </c>
      <c r="T741" s="24">
        <f t="shared" si="230"/>
        <v>12.551783676119999</v>
      </c>
      <c r="U741" s="24">
        <f t="shared" si="230"/>
        <v>12.551783676119999</v>
      </c>
      <c r="V741" s="24">
        <f t="shared" si="230"/>
        <v>12.551783676119999</v>
      </c>
      <c r="W741" s="24">
        <f t="shared" si="230"/>
        <v>12.551783676119999</v>
      </c>
      <c r="X741" s="24">
        <f t="shared" si="230"/>
        <v>12.551783676119999</v>
      </c>
      <c r="Y741" s="24">
        <f t="shared" si="230"/>
        <v>12.551783676119999</v>
      </c>
      <c r="Z741" s="24">
        <f t="shared" si="230"/>
        <v>12.551783676119999</v>
      </c>
      <c r="AA741" s="24">
        <f t="shared" si="230"/>
        <v>12.551783676119999</v>
      </c>
      <c r="AB741" s="24">
        <f t="shared" si="230"/>
        <v>12.551783676119999</v>
      </c>
      <c r="AC741" s="24">
        <f t="shared" si="230"/>
        <v>12.551783676119999</v>
      </c>
      <c r="AD741" s="24">
        <f t="shared" si="230"/>
        <v>12.551783676119999</v>
      </c>
      <c r="AE741" s="24">
        <f t="shared" si="230"/>
        <v>12.551783676119999</v>
      </c>
      <c r="AF741" s="28"/>
      <c r="AG741" s="11"/>
    </row>
    <row r="742" spans="1:33">
      <c r="A742" s="20"/>
      <c r="B742" s="5" t="s">
        <v>272</v>
      </c>
      <c r="C742" s="11"/>
      <c r="D742" t="s">
        <v>743</v>
      </c>
      <c r="E742" s="27"/>
      <c r="F742" s="6"/>
      <c r="G742" s="28"/>
      <c r="H742" t="s">
        <v>717</v>
      </c>
      <c r="I742" s="29"/>
      <c r="J742" s="11"/>
      <c r="K742" s="2" t="s">
        <v>273</v>
      </c>
      <c r="L742" s="11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11"/>
    </row>
    <row r="743" spans="1:33">
      <c r="A743" s="20"/>
      <c r="B743" s="27" t="s">
        <v>925</v>
      </c>
      <c r="C743" s="11" t="s">
        <v>266</v>
      </c>
      <c r="E743" s="27"/>
      <c r="F743" s="6"/>
      <c r="G743" s="28"/>
      <c r="I743" s="29"/>
      <c r="J743" s="11"/>
      <c r="K743" s="2"/>
      <c r="L743" s="11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11"/>
    </row>
    <row r="744" spans="1:33">
      <c r="A744" s="20"/>
      <c r="B744" s="14"/>
      <c r="C744" t="s">
        <v>274</v>
      </c>
      <c r="E744" s="27"/>
      <c r="F744" s="6"/>
      <c r="G744" s="28"/>
      <c r="I744" s="29"/>
      <c r="J744" s="11"/>
      <c r="K744" s="2"/>
      <c r="L744" s="11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11"/>
    </row>
    <row r="745" spans="1:33">
      <c r="A745" s="20"/>
      <c r="B745" s="16" t="s">
        <v>332</v>
      </c>
      <c r="C745" s="11"/>
      <c r="D745" s="11"/>
      <c r="E745" s="27"/>
      <c r="F745" s="6"/>
      <c r="G745" s="32">
        <f>G720+G727+G731+G733+G735+G741</f>
        <v>405.2590819332317</v>
      </c>
      <c r="H745" s="33"/>
      <c r="I745" s="29"/>
      <c r="J745" s="28"/>
      <c r="K745" s="11"/>
      <c r="L745" s="11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11"/>
    </row>
    <row r="746" spans="1:33">
      <c r="A746" s="20"/>
      <c r="B746" s="16" t="s">
        <v>721</v>
      </c>
      <c r="G746" s="32">
        <f>G715-G745</f>
        <v>15.650348435001888</v>
      </c>
      <c r="H746" s="33"/>
      <c r="I746" s="8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3">
      <c r="A747" s="39" t="s">
        <v>511</v>
      </c>
      <c r="B747" s="16"/>
      <c r="G747" s="32"/>
      <c r="H747" s="3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3">
      <c r="A748" s="3" t="s">
        <v>771</v>
      </c>
      <c r="G748" t="s">
        <v>535</v>
      </c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3">
      <c r="A749" s="20" t="s">
        <v>873</v>
      </c>
      <c r="B749" s="11"/>
      <c r="C749" s="11"/>
      <c r="D749" s="11"/>
      <c r="E749" s="14" t="s">
        <v>563</v>
      </c>
      <c r="F749" s="31">
        <f>$F$15</f>
        <v>0.7</v>
      </c>
      <c r="G749" s="19">
        <f>SUM(H749:AE749)/48</f>
        <v>71.273702463404234</v>
      </c>
      <c r="H749" s="2">
        <f>H$68*H$27*$F$15</f>
        <v>0</v>
      </c>
      <c r="I749" s="2">
        <f t="shared" ref="I749:AE749" si="231">I$68*I$27*$F$15</f>
        <v>0</v>
      </c>
      <c r="J749" s="2">
        <f t="shared" si="231"/>
        <v>0</v>
      </c>
      <c r="K749" s="2">
        <f t="shared" si="231"/>
        <v>0</v>
      </c>
      <c r="L749" s="2">
        <f t="shared" si="231"/>
        <v>0</v>
      </c>
      <c r="M749" s="2">
        <f t="shared" si="231"/>
        <v>0</v>
      </c>
      <c r="N749" s="2">
        <f t="shared" si="231"/>
        <v>0</v>
      </c>
      <c r="O749" s="2">
        <f t="shared" si="231"/>
        <v>0</v>
      </c>
      <c r="P749" s="2">
        <f t="shared" si="231"/>
        <v>293.79167703972053</v>
      </c>
      <c r="Q749" s="2">
        <f t="shared" si="231"/>
        <v>310.27257106759311</v>
      </c>
      <c r="R749" s="2">
        <f t="shared" si="231"/>
        <v>321.30825460976041</v>
      </c>
      <c r="S749" s="2">
        <f t="shared" si="231"/>
        <v>326.96517804136033</v>
      </c>
      <c r="T749" s="2">
        <f t="shared" si="231"/>
        <v>326.96517804136033</v>
      </c>
      <c r="U749" s="2">
        <f t="shared" si="231"/>
        <v>321.30825460976041</v>
      </c>
      <c r="V749" s="2">
        <f t="shared" si="231"/>
        <v>310.27257106759311</v>
      </c>
      <c r="W749" s="2">
        <f t="shared" si="231"/>
        <v>293.79167703972053</v>
      </c>
      <c r="X749" s="2">
        <f t="shared" si="231"/>
        <v>272.41474913397963</v>
      </c>
      <c r="Y749" s="2">
        <f t="shared" si="231"/>
        <v>246.21176102777972</v>
      </c>
      <c r="Z749" s="2">
        <f t="shared" si="231"/>
        <v>215.90653173783033</v>
      </c>
      <c r="AA749" s="2">
        <f t="shared" si="231"/>
        <v>181.92931482694456</v>
      </c>
      <c r="AB749" s="2">
        <f t="shared" si="231"/>
        <v>0</v>
      </c>
      <c r="AC749" s="2">
        <f t="shared" si="231"/>
        <v>0</v>
      </c>
      <c r="AD749" s="2">
        <f t="shared" si="231"/>
        <v>0</v>
      </c>
      <c r="AE749" s="2">
        <f t="shared" si="231"/>
        <v>0</v>
      </c>
      <c r="AF749" s="2"/>
    </row>
    <row r="750" spans="1:33">
      <c r="A750" s="5"/>
      <c r="B750" s="5" t="s">
        <v>54</v>
      </c>
      <c r="C750" s="11"/>
      <c r="D750" t="s">
        <v>79</v>
      </c>
      <c r="E750" s="12"/>
      <c r="F750" s="18"/>
      <c r="G750" s="19"/>
      <c r="H750" s="2" t="s">
        <v>860</v>
      </c>
      <c r="I750" s="2"/>
      <c r="J750" s="2" t="s">
        <v>861</v>
      </c>
      <c r="K750" s="26"/>
      <c r="L750" s="2"/>
      <c r="M750" s="2"/>
      <c r="N750" s="2"/>
      <c r="O750" s="26"/>
      <c r="P750" s="2"/>
      <c r="Q750" s="2"/>
      <c r="R750" s="26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3">
      <c r="A751" s="20" t="s">
        <v>874</v>
      </c>
      <c r="G751" s="19">
        <f>SUM(H751:AE751)/48</f>
        <v>33.203317223987717</v>
      </c>
      <c r="H751" s="2">
        <f>H$68*$T$20*H$28^2</f>
        <v>21.041633982918135</v>
      </c>
      <c r="I751" s="2">
        <f t="shared" ref="I751:AE751" si="232">I$68*$T$20*I$28^2</f>
        <v>63.584137704130541</v>
      </c>
      <c r="J751" s="2">
        <f t="shared" si="232"/>
        <v>105.00476228302121</v>
      </c>
      <c r="K751" s="2">
        <f t="shared" si="232"/>
        <v>144.74147889456404</v>
      </c>
      <c r="L751" s="2">
        <f t="shared" si="232"/>
        <v>181.92931482694456</v>
      </c>
      <c r="M751" s="2">
        <f t="shared" si="232"/>
        <v>215.90653173783033</v>
      </c>
      <c r="N751" s="2">
        <f t="shared" si="232"/>
        <v>246.21176102777972</v>
      </c>
      <c r="O751" s="2">
        <f t="shared" si="232"/>
        <v>272.41474913397963</v>
      </c>
      <c r="P751" s="2">
        <f t="shared" si="232"/>
        <v>0.73447919259930261</v>
      </c>
      <c r="Q751" s="2">
        <f t="shared" si="232"/>
        <v>0.77568142766898418</v>
      </c>
      <c r="R751" s="2">
        <f t="shared" si="232"/>
        <v>0.80327063652440245</v>
      </c>
      <c r="S751" s="2">
        <f t="shared" si="232"/>
        <v>0.81741294510340223</v>
      </c>
      <c r="T751" s="2">
        <f t="shared" si="232"/>
        <v>0.81741294510340223</v>
      </c>
      <c r="U751" s="2">
        <f t="shared" si="232"/>
        <v>0.80327063652440245</v>
      </c>
      <c r="V751" s="2">
        <f t="shared" si="232"/>
        <v>0.77568142766898418</v>
      </c>
      <c r="W751" s="2">
        <f t="shared" si="232"/>
        <v>0.73447919259930261</v>
      </c>
      <c r="X751" s="2">
        <f t="shared" si="232"/>
        <v>0.68103687283495029</v>
      </c>
      <c r="Y751" s="2">
        <f t="shared" si="232"/>
        <v>0.61552940256945032</v>
      </c>
      <c r="Z751" s="2">
        <f t="shared" si="232"/>
        <v>0.5397663293445768</v>
      </c>
      <c r="AA751" s="2">
        <f t="shared" si="232"/>
        <v>0.45482328706736219</v>
      </c>
      <c r="AB751" s="2">
        <f t="shared" si="232"/>
        <v>144.74147889456404</v>
      </c>
      <c r="AC751" s="2">
        <f t="shared" si="232"/>
        <v>105.00476228302121</v>
      </c>
      <c r="AD751" s="2">
        <f t="shared" si="232"/>
        <v>63.584137704130541</v>
      </c>
      <c r="AE751" s="2">
        <f t="shared" si="232"/>
        <v>21.041633982918135</v>
      </c>
      <c r="AF751" s="2"/>
    </row>
    <row r="752" spans="1:33">
      <c r="A752" s="16"/>
      <c r="B752" s="5" t="s">
        <v>67</v>
      </c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3">
      <c r="A753" s="20" t="s">
        <v>875</v>
      </c>
      <c r="E753" s="12"/>
      <c r="F753" s="6"/>
      <c r="G753" s="19">
        <f>(SUM(H753:AE753)+24*$T$24)/48</f>
        <v>237.45794620275001</v>
      </c>
      <c r="H753" s="2">
        <f>$T$24*(1-H$27)</f>
        <v>316.61059493700003</v>
      </c>
      <c r="I753" s="2">
        <f t="shared" ref="I753:AE753" si="233">$T$24*(1-I$27)</f>
        <v>316.61059493700003</v>
      </c>
      <c r="J753" s="2">
        <f t="shared" si="233"/>
        <v>316.61059493700003</v>
      </c>
      <c r="K753" s="2">
        <f t="shared" si="233"/>
        <v>316.61059493700003</v>
      </c>
      <c r="L753" s="2">
        <f t="shared" si="233"/>
        <v>316.61059493700003</v>
      </c>
      <c r="M753" s="2">
        <f t="shared" si="233"/>
        <v>316.61059493700003</v>
      </c>
      <c r="N753" s="2">
        <f t="shared" si="233"/>
        <v>316.61059493700003</v>
      </c>
      <c r="O753" s="2">
        <f t="shared" si="233"/>
        <v>316.61059493700003</v>
      </c>
      <c r="P753" s="2">
        <f t="shared" si="233"/>
        <v>0</v>
      </c>
      <c r="Q753" s="2">
        <f t="shared" si="233"/>
        <v>0</v>
      </c>
      <c r="R753" s="2">
        <f t="shared" si="233"/>
        <v>0</v>
      </c>
      <c r="S753" s="2">
        <f t="shared" si="233"/>
        <v>0</v>
      </c>
      <c r="T753" s="2">
        <f t="shared" si="233"/>
        <v>0</v>
      </c>
      <c r="U753" s="2">
        <f t="shared" si="233"/>
        <v>0</v>
      </c>
      <c r="V753" s="2">
        <f t="shared" si="233"/>
        <v>0</v>
      </c>
      <c r="W753" s="2">
        <f t="shared" si="233"/>
        <v>0</v>
      </c>
      <c r="X753" s="2">
        <f t="shared" si="233"/>
        <v>0</v>
      </c>
      <c r="Y753" s="2">
        <f t="shared" si="233"/>
        <v>0</v>
      </c>
      <c r="Z753" s="2">
        <f t="shared" si="233"/>
        <v>0</v>
      </c>
      <c r="AA753" s="2">
        <f t="shared" si="233"/>
        <v>0</v>
      </c>
      <c r="AB753" s="2">
        <f t="shared" si="233"/>
        <v>316.61059493700003</v>
      </c>
      <c r="AC753" s="2">
        <f t="shared" si="233"/>
        <v>316.61059493700003</v>
      </c>
      <c r="AD753" s="2">
        <f t="shared" si="233"/>
        <v>316.61059493700003</v>
      </c>
      <c r="AE753" s="2">
        <f t="shared" si="233"/>
        <v>316.61059493700003</v>
      </c>
      <c r="AF753" s="2"/>
    </row>
    <row r="754" spans="1:33">
      <c r="A754" s="20"/>
      <c r="C754" s="5" t="s">
        <v>68</v>
      </c>
      <c r="D754" t="s">
        <v>37</v>
      </c>
      <c r="E754" s="12"/>
      <c r="F754" s="6"/>
      <c r="G754" s="19"/>
      <c r="H754" s="2" t="s">
        <v>860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3">
      <c r="A755" s="20" t="s">
        <v>876</v>
      </c>
      <c r="E755" s="12">
        <f>$F$7</f>
        <v>-5</v>
      </c>
      <c r="F755" s="6" t="s">
        <v>558</v>
      </c>
      <c r="G755" s="19">
        <f>SUM(H755:AE755)/48</f>
        <v>73.51128940800001</v>
      </c>
      <c r="H755" s="2">
        <f t="shared" ref="H755:AE755" si="234">$M$9*($F$7+273)^4*H$27</f>
        <v>0</v>
      </c>
      <c r="I755" s="2">
        <f t="shared" si="234"/>
        <v>0</v>
      </c>
      <c r="J755" s="2">
        <f t="shared" si="234"/>
        <v>0</v>
      </c>
      <c r="K755" s="2">
        <f t="shared" si="234"/>
        <v>0</v>
      </c>
      <c r="L755" s="2">
        <f t="shared" si="234"/>
        <v>0</v>
      </c>
      <c r="M755" s="2">
        <f t="shared" si="234"/>
        <v>0</v>
      </c>
      <c r="N755" s="2">
        <f t="shared" si="234"/>
        <v>0</v>
      </c>
      <c r="O755" s="2">
        <f t="shared" si="234"/>
        <v>0</v>
      </c>
      <c r="P755" s="2">
        <f t="shared" si="234"/>
        <v>294.04515763199998</v>
      </c>
      <c r="Q755" s="2">
        <f t="shared" si="234"/>
        <v>294.04515763199998</v>
      </c>
      <c r="R755" s="2">
        <f t="shared" si="234"/>
        <v>294.04515763199998</v>
      </c>
      <c r="S755" s="2">
        <f t="shared" si="234"/>
        <v>294.04515763199998</v>
      </c>
      <c r="T755" s="2">
        <f t="shared" si="234"/>
        <v>294.04515763199998</v>
      </c>
      <c r="U755" s="2">
        <f t="shared" si="234"/>
        <v>294.04515763199998</v>
      </c>
      <c r="V755" s="2">
        <f t="shared" si="234"/>
        <v>294.04515763199998</v>
      </c>
      <c r="W755" s="2">
        <f t="shared" si="234"/>
        <v>294.04515763199998</v>
      </c>
      <c r="X755" s="2">
        <f t="shared" si="234"/>
        <v>294.04515763199998</v>
      </c>
      <c r="Y755" s="2">
        <f t="shared" si="234"/>
        <v>294.04515763199998</v>
      </c>
      <c r="Z755" s="2">
        <f t="shared" si="234"/>
        <v>294.04515763199998</v>
      </c>
      <c r="AA755" s="2">
        <f t="shared" si="234"/>
        <v>294.04515763199998</v>
      </c>
      <c r="AB755" s="2">
        <f t="shared" si="234"/>
        <v>0</v>
      </c>
      <c r="AC755" s="2">
        <f t="shared" si="234"/>
        <v>0</v>
      </c>
      <c r="AD755" s="2">
        <f t="shared" si="234"/>
        <v>0</v>
      </c>
      <c r="AE755" s="2">
        <f t="shared" si="234"/>
        <v>0</v>
      </c>
      <c r="AF755" s="2"/>
    </row>
    <row r="756" spans="1:33">
      <c r="A756" s="20"/>
      <c r="B756" t="s">
        <v>865</v>
      </c>
      <c r="D756" t="s">
        <v>743</v>
      </c>
      <c r="E756" s="30"/>
      <c r="F756" s="6"/>
      <c r="G756" s="19"/>
      <c r="H756" t="s">
        <v>617</v>
      </c>
      <c r="I756" s="2"/>
      <c r="K756" s="2" t="s">
        <v>860</v>
      </c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3">
      <c r="A757" s="20"/>
      <c r="B757" s="16" t="s">
        <v>724</v>
      </c>
      <c r="E757" s="30"/>
      <c r="F757" s="6"/>
      <c r="G757" s="32">
        <f>G749+G751+G753+G755</f>
        <v>415.44625529814198</v>
      </c>
      <c r="H757" s="3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3">
      <c r="A758" s="39" t="s">
        <v>511</v>
      </c>
      <c r="B758" s="16"/>
      <c r="E758" s="30"/>
      <c r="G758" s="32"/>
      <c r="H758" s="3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3">
      <c r="A759" s="3" t="s">
        <v>328</v>
      </c>
      <c r="E759" s="12"/>
      <c r="F759" s="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3">
      <c r="A760" s="3" t="s">
        <v>877</v>
      </c>
      <c r="G760" s="19">
        <f>SUM(H760:AE760)/48</f>
        <v>14.800319988010564</v>
      </c>
      <c r="H760" s="24">
        <f>H$68*H$718*$F$16</f>
        <v>13.50841858812389</v>
      </c>
      <c r="I760" s="24">
        <f t="shared" ref="I760:AE760" si="235">I$68*I$718*$F$16</f>
        <v>24.545283709990649</v>
      </c>
      <c r="J760" s="24">
        <f t="shared" si="235"/>
        <v>28.138887031591903</v>
      </c>
      <c r="K760" s="24">
        <f t="shared" si="235"/>
        <v>30.165117912530668</v>
      </c>
      <c r="L760" s="24">
        <f t="shared" si="235"/>
        <v>30.765400751446684</v>
      </c>
      <c r="M760" s="24">
        <f t="shared" si="235"/>
        <v>31.840315584310364</v>
      </c>
      <c r="N760" s="24">
        <f t="shared" si="235"/>
        <v>31.995858252075784</v>
      </c>
      <c r="O760" s="24">
        <f t="shared" si="235"/>
        <v>32.77506152461018</v>
      </c>
      <c r="P760" s="24">
        <f t="shared" si="235"/>
        <v>33.018833605851057</v>
      </c>
      <c r="Q760" s="24">
        <f t="shared" si="235"/>
        <v>32.962810560471766</v>
      </c>
      <c r="R760" s="24">
        <f t="shared" si="235"/>
        <v>32.805113766147237</v>
      </c>
      <c r="S760" s="24">
        <f t="shared" si="235"/>
        <v>32.686578425103328</v>
      </c>
      <c r="T760" s="24">
        <f t="shared" si="235"/>
        <v>32.686578425103328</v>
      </c>
      <c r="U760" s="24">
        <f t="shared" si="235"/>
        <v>32.805113766147237</v>
      </c>
      <c r="V760" s="24">
        <f t="shared" si="235"/>
        <v>32.962810560471766</v>
      </c>
      <c r="W760" s="24">
        <f t="shared" si="235"/>
        <v>33.018833605851057</v>
      </c>
      <c r="X760" s="24">
        <f t="shared" si="235"/>
        <v>32.77506152461018</v>
      </c>
      <c r="Y760" s="24">
        <f t="shared" si="235"/>
        <v>31.995858252075784</v>
      </c>
      <c r="Z760" s="24">
        <f t="shared" si="235"/>
        <v>31.840315584310364</v>
      </c>
      <c r="AA760" s="24">
        <f t="shared" si="235"/>
        <v>30.765400751446684</v>
      </c>
      <c r="AB760" s="24">
        <f t="shared" si="235"/>
        <v>30.165117912530668</v>
      </c>
      <c r="AC760" s="24">
        <f t="shared" si="235"/>
        <v>28.138887031591903</v>
      </c>
      <c r="AD760" s="24">
        <f t="shared" si="235"/>
        <v>24.545283709990649</v>
      </c>
      <c r="AE760" s="24">
        <f t="shared" si="235"/>
        <v>13.50841858812389</v>
      </c>
      <c r="AF760" s="2"/>
    </row>
    <row r="761" spans="1:33">
      <c r="B761" s="5" t="s">
        <v>52</v>
      </c>
      <c r="D761" t="s">
        <v>62</v>
      </c>
      <c r="H761" t="s">
        <v>866</v>
      </c>
      <c r="J761" s="2"/>
      <c r="K761" s="2"/>
      <c r="L761" t="s">
        <v>40</v>
      </c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3">
      <c r="A762" t="s">
        <v>879</v>
      </c>
      <c r="C762" s="11"/>
      <c r="G762" s="98">
        <f>SUM(H762:AE762)/48</f>
        <v>133.9020099425627</v>
      </c>
      <c r="H762" s="97">
        <f>H$68*(1-($F$16+$F$13)*H$718)</f>
        <v>16.280890158568113</v>
      </c>
      <c r="I762" s="97">
        <f t="shared" ref="I762:AE762" si="236">I$68*(1-($F$16+$F$13)*I$718)</f>
        <v>65.798293050281742</v>
      </c>
      <c r="J762" s="97">
        <f t="shared" si="236"/>
        <v>121.30513848923515</v>
      </c>
      <c r="K762" s="97">
        <f t="shared" si="236"/>
        <v>176.00512100716736</v>
      </c>
      <c r="L762" s="97">
        <f t="shared" si="236"/>
        <v>228.51831241487375</v>
      </c>
      <c r="M762" s="97">
        <f t="shared" si="236"/>
        <v>275.96078058661823</v>
      </c>
      <c r="N762" s="97">
        <f t="shared" si="236"/>
        <v>319.09531176542515</v>
      </c>
      <c r="O762" s="97">
        <f t="shared" si="236"/>
        <v>355.73336457915428</v>
      </c>
      <c r="P762" s="97">
        <f t="shared" si="236"/>
        <v>386.02318549306131</v>
      </c>
      <c r="Q762" s="97">
        <f t="shared" si="236"/>
        <v>409.62446332488042</v>
      </c>
      <c r="R762" s="97">
        <f t="shared" si="236"/>
        <v>425.55057625818762</v>
      </c>
      <c r="S762" s="97">
        <f t="shared" si="236"/>
        <v>433.75280149405228</v>
      </c>
      <c r="T762" s="97">
        <f t="shared" si="236"/>
        <v>433.75280149405228</v>
      </c>
      <c r="U762" s="97">
        <f t="shared" si="236"/>
        <v>425.55057625818762</v>
      </c>
      <c r="V762" s="97">
        <f t="shared" si="236"/>
        <v>409.62446332488042</v>
      </c>
      <c r="W762" s="97">
        <f t="shared" si="236"/>
        <v>386.02318549306131</v>
      </c>
      <c r="X762" s="97">
        <f t="shared" si="236"/>
        <v>355.73336457915428</v>
      </c>
      <c r="Y762" s="97">
        <f t="shared" si="236"/>
        <v>319.09531176542515</v>
      </c>
      <c r="Z762" s="97">
        <f t="shared" si="236"/>
        <v>275.96078058661823</v>
      </c>
      <c r="AA762" s="97">
        <f t="shared" si="236"/>
        <v>228.51831241487375</v>
      </c>
      <c r="AB762" s="97">
        <f t="shared" si="236"/>
        <v>176.00512100716736</v>
      </c>
      <c r="AC762" s="97">
        <f t="shared" si="236"/>
        <v>121.30513848923515</v>
      </c>
      <c r="AD762" s="97">
        <f t="shared" si="236"/>
        <v>65.798293050281742</v>
      </c>
      <c r="AE762" s="97">
        <f t="shared" si="236"/>
        <v>16.280890158568113</v>
      </c>
      <c r="AF762" s="28"/>
      <c r="AG762" s="11"/>
    </row>
    <row r="763" spans="1:33">
      <c r="B763" s="24" t="s">
        <v>53</v>
      </c>
      <c r="D763" s="2" t="s">
        <v>57</v>
      </c>
      <c r="E763" s="106" t="s">
        <v>970</v>
      </c>
      <c r="G763" t="s">
        <v>853</v>
      </c>
      <c r="I763" t="s">
        <v>40</v>
      </c>
      <c r="AF763" s="28"/>
      <c r="AG763" s="11"/>
    </row>
    <row r="764" spans="1:33">
      <c r="A764" t="s">
        <v>878</v>
      </c>
      <c r="C764" s="11"/>
      <c r="D764" s="24"/>
      <c r="G764" s="97">
        <f>SUM(H764:AE764)/48</f>
        <v>93.731406959793915</v>
      </c>
      <c r="H764" s="97">
        <f>H762*($T$20*(1-H$27)+$F$15*H$27)</f>
        <v>11.396623110997679</v>
      </c>
      <c r="I764" s="97">
        <f t="shared" ref="I764:AE764" si="237">I762*($T$20*(1-I$27)+$F$15*I$27)</f>
        <v>46.058805135197218</v>
      </c>
      <c r="J764" s="97">
        <f t="shared" si="237"/>
        <v>84.913596942464594</v>
      </c>
      <c r="K764" s="97">
        <f t="shared" si="237"/>
        <v>123.20358470501715</v>
      </c>
      <c r="L764" s="97">
        <f t="shared" si="237"/>
        <v>159.96281869041161</v>
      </c>
      <c r="M764" s="97">
        <f t="shared" si="237"/>
        <v>193.17254641063275</v>
      </c>
      <c r="N764" s="97">
        <f t="shared" si="237"/>
        <v>223.36671823579761</v>
      </c>
      <c r="O764" s="97">
        <f t="shared" si="237"/>
        <v>249.01335520540798</v>
      </c>
      <c r="P764" s="97">
        <f t="shared" si="237"/>
        <v>270.21622984514289</v>
      </c>
      <c r="Q764" s="97">
        <f t="shared" si="237"/>
        <v>286.73712432741627</v>
      </c>
      <c r="R764" s="97">
        <f t="shared" si="237"/>
        <v>297.8854033807313</v>
      </c>
      <c r="S764" s="97">
        <f t="shared" si="237"/>
        <v>303.62696104583659</v>
      </c>
      <c r="T764" s="97">
        <f t="shared" si="237"/>
        <v>303.62696104583659</v>
      </c>
      <c r="U764" s="97">
        <f t="shared" si="237"/>
        <v>297.8854033807313</v>
      </c>
      <c r="V764" s="97">
        <f t="shared" si="237"/>
        <v>286.73712432741627</v>
      </c>
      <c r="W764" s="97">
        <f t="shared" si="237"/>
        <v>270.21622984514289</v>
      </c>
      <c r="X764" s="97">
        <f t="shared" si="237"/>
        <v>249.01335520540798</v>
      </c>
      <c r="Y764" s="97">
        <f t="shared" si="237"/>
        <v>223.36671823579761</v>
      </c>
      <c r="Z764" s="97">
        <f t="shared" si="237"/>
        <v>193.17254641063275</v>
      </c>
      <c r="AA764" s="97">
        <f t="shared" si="237"/>
        <v>159.96281869041161</v>
      </c>
      <c r="AB764" s="97">
        <f t="shared" si="237"/>
        <v>123.20358470501715</v>
      </c>
      <c r="AC764" s="97">
        <f t="shared" si="237"/>
        <v>84.913596942464594</v>
      </c>
      <c r="AD764" s="97">
        <f t="shared" si="237"/>
        <v>46.058805135197218</v>
      </c>
      <c r="AE764" s="97">
        <f t="shared" si="237"/>
        <v>11.396623110997679</v>
      </c>
      <c r="AF764" s="28"/>
      <c r="AG764" s="11"/>
    </row>
    <row r="765" spans="1:33">
      <c r="B765" s="24" t="s">
        <v>917</v>
      </c>
      <c r="D765" s="14" t="s">
        <v>65</v>
      </c>
      <c r="G765" t="s">
        <v>888</v>
      </c>
      <c r="I765" s="24" t="s">
        <v>80</v>
      </c>
      <c r="M765" s="2" t="s">
        <v>860</v>
      </c>
      <c r="AF765" s="28"/>
      <c r="AG765" s="11"/>
    </row>
    <row r="766" spans="1:33" ht="18">
      <c r="A766" s="20" t="s">
        <v>881</v>
      </c>
      <c r="G766" s="19">
        <f>SUM(H766:AE766)/48</f>
        <v>62.317564571955806</v>
      </c>
      <c r="H766" s="2">
        <f>H$68*H$27*$F$15*(1-H$718*$F$16)*(1-$H$719*$F$16)</f>
        <v>0</v>
      </c>
      <c r="I766" s="2">
        <f t="shared" ref="I766:AE766" si="238">I$68*I$27*$F$15*(1-I$718*$F$16)*(1-$H$719*$F$16)</f>
        <v>0</v>
      </c>
      <c r="J766" s="2">
        <f t="shared" si="238"/>
        <v>0</v>
      </c>
      <c r="K766" s="2">
        <f t="shared" si="238"/>
        <v>0</v>
      </c>
      <c r="L766" s="2">
        <f t="shared" si="238"/>
        <v>0</v>
      </c>
      <c r="M766" s="2">
        <f t="shared" si="238"/>
        <v>0</v>
      </c>
      <c r="N766" s="2">
        <f t="shared" si="238"/>
        <v>0</v>
      </c>
      <c r="O766" s="2">
        <f t="shared" si="238"/>
        <v>0</v>
      </c>
      <c r="P766" s="2">
        <f t="shared" si="238"/>
        <v>257.20710416699956</v>
      </c>
      <c r="Q766" s="2">
        <f t="shared" si="238"/>
        <v>272.90502548868398</v>
      </c>
      <c r="R766" s="2">
        <f t="shared" si="238"/>
        <v>283.49636831837216</v>
      </c>
      <c r="S766" s="2">
        <f t="shared" si="238"/>
        <v>288.95059767892894</v>
      </c>
      <c r="T766" s="2">
        <f t="shared" si="238"/>
        <v>288.95059767892894</v>
      </c>
      <c r="U766" s="2">
        <f t="shared" si="238"/>
        <v>283.49636831837216</v>
      </c>
      <c r="V766" s="2">
        <f t="shared" si="238"/>
        <v>272.90502548868398</v>
      </c>
      <c r="W766" s="2">
        <f t="shared" si="238"/>
        <v>257.20710416699956</v>
      </c>
      <c r="X766" s="2">
        <f t="shared" si="238"/>
        <v>237.05623176478349</v>
      </c>
      <c r="Y766" s="2">
        <f t="shared" si="238"/>
        <v>212.67563553231312</v>
      </c>
      <c r="Z766" s="2">
        <f t="shared" si="238"/>
        <v>183.98212726535047</v>
      </c>
      <c r="AA766" s="2">
        <f t="shared" si="238"/>
        <v>152.41091358546231</v>
      </c>
      <c r="AB766" s="2">
        <f t="shared" si="238"/>
        <v>0</v>
      </c>
      <c r="AC766" s="2">
        <f t="shared" si="238"/>
        <v>0</v>
      </c>
      <c r="AD766" s="2">
        <f t="shared" si="238"/>
        <v>0</v>
      </c>
      <c r="AE766" s="2">
        <f t="shared" si="238"/>
        <v>0</v>
      </c>
      <c r="AF766" s="2"/>
    </row>
    <row r="767" spans="1:33">
      <c r="B767" s="5" t="s">
        <v>54</v>
      </c>
      <c r="C767" s="11"/>
      <c r="D767" t="s">
        <v>55</v>
      </c>
      <c r="E767" s="12"/>
      <c r="F767" s="18"/>
      <c r="G767" s="2" t="s">
        <v>860</v>
      </c>
      <c r="I767" s="2" t="s">
        <v>867</v>
      </c>
      <c r="K767" s="9"/>
      <c r="AF767" s="2"/>
    </row>
    <row r="768" spans="1:33">
      <c r="A768" s="11" t="s">
        <v>568</v>
      </c>
      <c r="B768" t="s">
        <v>883</v>
      </c>
      <c r="C768" s="11"/>
      <c r="E768" s="12"/>
      <c r="F768" s="18"/>
      <c r="G768" s="2" t="s">
        <v>44</v>
      </c>
      <c r="H768" s="2"/>
      <c r="J768" t="s">
        <v>868</v>
      </c>
      <c r="AF768" s="2"/>
    </row>
    <row r="769" spans="1:33">
      <c r="A769" s="11"/>
      <c r="B769" t="s">
        <v>45</v>
      </c>
      <c r="C769" s="11"/>
      <c r="E769" s="12"/>
      <c r="F769" s="18"/>
      <c r="G769" s="19"/>
      <c r="I769" s="12" t="s">
        <v>858</v>
      </c>
      <c r="K769" s="11"/>
      <c r="AF769" s="2"/>
    </row>
    <row r="770" spans="1:33">
      <c r="A770" s="11"/>
      <c r="B770" s="2" t="s">
        <v>46</v>
      </c>
      <c r="C770" s="11"/>
      <c r="E770" s="12"/>
      <c r="F770" s="18"/>
      <c r="G770" s="19"/>
      <c r="H770" s="2"/>
      <c r="K770" s="11"/>
      <c r="L770" s="12"/>
      <c r="AF770" s="2"/>
    </row>
    <row r="771" spans="1:33" ht="18">
      <c r="A771" s="20" t="s">
        <v>882</v>
      </c>
      <c r="G771" s="19">
        <f>SUM(H771:AE771)/48</f>
        <v>27.101613009298116</v>
      </c>
      <c r="H771" s="2">
        <f>H$68*$T$20*H$28^2*(1-H$718*$F$16)*(1-$H$719*$F$16)</f>
        <v>11.009130596729058</v>
      </c>
      <c r="I771" s="2">
        <f t="shared" ref="I771:AE771" si="239">I$68*$T$20*I$28^2*(1-I$718*$F$16)*(1-$H$719*$F$16)</f>
        <v>44.093037588682009</v>
      </c>
      <c r="J771" s="2">
        <f t="shared" si="239"/>
        <v>81.061873043780722</v>
      </c>
      <c r="K771" s="2">
        <f t="shared" si="239"/>
        <v>117.47316304569111</v>
      </c>
      <c r="L771" s="2">
        <f t="shared" si="239"/>
        <v>152.41091358546231</v>
      </c>
      <c r="M771" s="2">
        <f t="shared" si="239"/>
        <v>183.98212726535047</v>
      </c>
      <c r="N771" s="2">
        <f t="shared" si="239"/>
        <v>212.67563553231312</v>
      </c>
      <c r="O771" s="2">
        <f t="shared" si="239"/>
        <v>237.05623176478349</v>
      </c>
      <c r="P771" s="2">
        <f t="shared" si="239"/>
        <v>0.64301776041750014</v>
      </c>
      <c r="Q771" s="2">
        <f t="shared" si="239"/>
        <v>0.68226256372171123</v>
      </c>
      <c r="R771" s="2">
        <f t="shared" si="239"/>
        <v>0.70874092079593165</v>
      </c>
      <c r="S771" s="2">
        <f t="shared" si="239"/>
        <v>0.72237649419732364</v>
      </c>
      <c r="T771" s="2">
        <f t="shared" si="239"/>
        <v>0.72237649419732364</v>
      </c>
      <c r="U771" s="2">
        <f t="shared" si="239"/>
        <v>0.70874092079593165</v>
      </c>
      <c r="V771" s="2">
        <f t="shared" si="239"/>
        <v>0.68226256372171123</v>
      </c>
      <c r="W771" s="2">
        <f t="shared" si="239"/>
        <v>0.64301776041750014</v>
      </c>
      <c r="X771" s="2">
        <f t="shared" si="239"/>
        <v>0.5926405794119598</v>
      </c>
      <c r="Y771" s="2">
        <f t="shared" si="239"/>
        <v>0.5316890888307837</v>
      </c>
      <c r="Z771" s="2">
        <f t="shared" si="239"/>
        <v>0.45995531816337704</v>
      </c>
      <c r="AA771" s="2">
        <f t="shared" si="239"/>
        <v>0.38102728396365637</v>
      </c>
      <c r="AB771" s="2">
        <f t="shared" si="239"/>
        <v>117.47316304569111</v>
      </c>
      <c r="AC771" s="2">
        <f t="shared" si="239"/>
        <v>81.061873043780722</v>
      </c>
      <c r="AD771" s="2">
        <f t="shared" si="239"/>
        <v>44.093037588682009</v>
      </c>
      <c r="AE771" s="2">
        <f t="shared" si="239"/>
        <v>11.009130596729058</v>
      </c>
      <c r="AF771" s="2"/>
    </row>
    <row r="772" spans="1:33">
      <c r="A772" s="14"/>
      <c r="B772" s="5" t="s">
        <v>67</v>
      </c>
      <c r="G772" s="2"/>
      <c r="H772" s="2"/>
      <c r="I772" s="2"/>
      <c r="J772" s="10"/>
      <c r="K772" s="9"/>
      <c r="AF772" s="2"/>
    </row>
    <row r="773" spans="1:33">
      <c r="A773" s="11" t="s">
        <v>568</v>
      </c>
      <c r="B773" t="s">
        <v>726</v>
      </c>
      <c r="C773" s="11"/>
      <c r="E773" s="12"/>
      <c r="F773" s="18"/>
      <c r="G773" s="2" t="s">
        <v>44</v>
      </c>
      <c r="H773" s="2"/>
      <c r="J773" s="11"/>
      <c r="K773" t="s">
        <v>868</v>
      </c>
      <c r="M773" s="10"/>
      <c r="N773" s="10"/>
      <c r="AF773" s="2"/>
    </row>
    <row r="774" spans="1:33">
      <c r="A774" s="11"/>
      <c r="B774" t="s">
        <v>45</v>
      </c>
      <c r="C774" s="11"/>
      <c r="E774" s="12"/>
      <c r="F774" s="18"/>
      <c r="G774" s="19"/>
      <c r="H774" s="2"/>
      <c r="J774" s="11"/>
      <c r="M774" s="10"/>
      <c r="N774" s="10"/>
      <c r="AF774" s="2"/>
    </row>
    <row r="775" spans="1:33">
      <c r="A775" t="s">
        <v>834</v>
      </c>
      <c r="B775" s="5"/>
      <c r="C775" s="11"/>
      <c r="D775" s="5" t="s">
        <v>58</v>
      </c>
      <c r="F775" t="s">
        <v>81</v>
      </c>
      <c r="G775" s="97">
        <f>SUM(H775:AE775)/48</f>
        <v>4.6649154166248277</v>
      </c>
      <c r="H775" s="97">
        <f>H764*$H$719*$F$16</f>
        <v>0.56719817372165038</v>
      </c>
      <c r="I775" s="97">
        <f t="shared" ref="I775:AE775" si="240">I764*$H$719*$F$16</f>
        <v>2.29229921021739</v>
      </c>
      <c r="J775" s="97">
        <f t="shared" si="240"/>
        <v>4.2260621098740518</v>
      </c>
      <c r="K775" s="97">
        <f t="shared" si="240"/>
        <v>6.1317152949641498</v>
      </c>
      <c r="L775" s="97">
        <f t="shared" si="240"/>
        <v>7.9611844439265864</v>
      </c>
      <c r="M775" s="97">
        <f t="shared" si="240"/>
        <v>9.6139983282890142</v>
      </c>
      <c r="N775" s="97">
        <f t="shared" si="240"/>
        <v>11.116731107066673</v>
      </c>
      <c r="O775" s="97">
        <f t="shared" si="240"/>
        <v>12.393137768021148</v>
      </c>
      <c r="P775" s="97">
        <f t="shared" si="240"/>
        <v>13.448382962687759</v>
      </c>
      <c r="Q775" s="97">
        <f t="shared" si="240"/>
        <v>14.270610835569768</v>
      </c>
      <c r="R775" s="97">
        <f t="shared" si="240"/>
        <v>14.825449181770553</v>
      </c>
      <c r="S775" s="97">
        <f t="shared" si="240"/>
        <v>15.111200582887141</v>
      </c>
      <c r="T775" s="97">
        <f t="shared" si="240"/>
        <v>15.111200582887141</v>
      </c>
      <c r="U775" s="97">
        <f t="shared" si="240"/>
        <v>14.825449181770553</v>
      </c>
      <c r="V775" s="97">
        <f t="shared" si="240"/>
        <v>14.270610835569768</v>
      </c>
      <c r="W775" s="97">
        <f t="shared" si="240"/>
        <v>13.448382962687759</v>
      </c>
      <c r="X775" s="97">
        <f t="shared" si="240"/>
        <v>12.393137768021148</v>
      </c>
      <c r="Y775" s="97">
        <f t="shared" si="240"/>
        <v>11.116731107066673</v>
      </c>
      <c r="Z775" s="97">
        <f t="shared" si="240"/>
        <v>9.6139983282890142</v>
      </c>
      <c r="AA775" s="97">
        <f t="shared" si="240"/>
        <v>7.9611844439265864</v>
      </c>
      <c r="AB775" s="97">
        <f t="shared" si="240"/>
        <v>6.1317152949641498</v>
      </c>
      <c r="AC775" s="97">
        <f t="shared" si="240"/>
        <v>4.2260621098740518</v>
      </c>
      <c r="AD775" s="97">
        <f t="shared" si="240"/>
        <v>2.29229921021739</v>
      </c>
      <c r="AE775" s="97">
        <f t="shared" si="240"/>
        <v>0.56719817372165038</v>
      </c>
      <c r="AF775" s="28"/>
      <c r="AG775" s="11"/>
    </row>
    <row r="776" spans="1:33">
      <c r="A776" t="s">
        <v>918</v>
      </c>
      <c r="B776" s="5"/>
      <c r="C776" s="11"/>
      <c r="D776" s="104" t="s">
        <v>82</v>
      </c>
      <c r="G776" s="97">
        <f>SUM(H776:AE776)/48</f>
        <v>3.26544079163738</v>
      </c>
      <c r="H776" s="97">
        <f>H775*($T$20*(1-H$27)+$F$15*H$27)</f>
        <v>0.39703872160515524</v>
      </c>
      <c r="I776" s="97">
        <f t="shared" ref="I776:AE776" si="241">I775*($T$20*(1-I$27)+$F$15*I$27)</f>
        <v>1.604609447152173</v>
      </c>
      <c r="J776" s="97">
        <f t="shared" si="241"/>
        <v>2.9582434769118362</v>
      </c>
      <c r="K776" s="97">
        <f t="shared" si="241"/>
        <v>4.2922007064749046</v>
      </c>
      <c r="L776" s="97">
        <f t="shared" si="241"/>
        <v>5.5728291107486099</v>
      </c>
      <c r="M776" s="97">
        <f t="shared" si="241"/>
        <v>6.7297988298023093</v>
      </c>
      <c r="N776" s="97">
        <f t="shared" si="241"/>
        <v>7.7817117749466709</v>
      </c>
      <c r="O776" s="97">
        <f t="shared" si="241"/>
        <v>8.6751964376148027</v>
      </c>
      <c r="P776" s="97">
        <f t="shared" si="241"/>
        <v>9.4138680738814315</v>
      </c>
      <c r="Q776" s="97">
        <f t="shared" si="241"/>
        <v>9.9894275848988361</v>
      </c>
      <c r="R776" s="97">
        <f t="shared" si="241"/>
        <v>10.377814427239386</v>
      </c>
      <c r="S776" s="97">
        <f t="shared" si="241"/>
        <v>10.577840408020998</v>
      </c>
      <c r="T776" s="97">
        <f t="shared" si="241"/>
        <v>10.577840408020998</v>
      </c>
      <c r="U776" s="97">
        <f t="shared" si="241"/>
        <v>10.377814427239386</v>
      </c>
      <c r="V776" s="97">
        <f t="shared" si="241"/>
        <v>9.9894275848988361</v>
      </c>
      <c r="W776" s="97">
        <f t="shared" si="241"/>
        <v>9.4138680738814315</v>
      </c>
      <c r="X776" s="97">
        <f t="shared" si="241"/>
        <v>8.6751964376148027</v>
      </c>
      <c r="Y776" s="97">
        <f t="shared" si="241"/>
        <v>7.7817117749466709</v>
      </c>
      <c r="Z776" s="97">
        <f t="shared" si="241"/>
        <v>6.7297988298023093</v>
      </c>
      <c r="AA776" s="97">
        <f t="shared" si="241"/>
        <v>5.5728291107486099</v>
      </c>
      <c r="AB776" s="97">
        <f t="shared" si="241"/>
        <v>4.2922007064749046</v>
      </c>
      <c r="AC776" s="97">
        <f t="shared" si="241"/>
        <v>2.9582434769118362</v>
      </c>
      <c r="AD776" s="97">
        <f t="shared" si="241"/>
        <v>1.604609447152173</v>
      </c>
      <c r="AE776" s="97">
        <f t="shared" si="241"/>
        <v>0.39703872160515524</v>
      </c>
      <c r="AF776" s="28"/>
      <c r="AG776" s="11"/>
    </row>
    <row r="777" spans="1:33">
      <c r="A777" s="20" t="s">
        <v>835</v>
      </c>
      <c r="B777" s="5"/>
      <c r="C777" s="11"/>
      <c r="G777" s="19">
        <f>SUM(H777:AE777)/48</f>
        <v>3.0996728201881782</v>
      </c>
      <c r="H777" s="24">
        <f>H776*(1-($F$16+$F$13)*$H$719)</f>
        <v>0.37688330992663926</v>
      </c>
      <c r="I777" s="24">
        <f t="shared" ref="I777:AE777" si="242">I776*(1-($F$16+$F$13)*$H$719)</f>
        <v>1.5231524953973494</v>
      </c>
      <c r="J777" s="24">
        <f t="shared" si="242"/>
        <v>2.8080701767324707</v>
      </c>
      <c r="K777" s="24">
        <f t="shared" si="242"/>
        <v>4.0743099377960457</v>
      </c>
      <c r="L777" s="24">
        <f t="shared" si="242"/>
        <v>5.289928076594923</v>
      </c>
      <c r="M777" s="24">
        <f t="shared" si="242"/>
        <v>6.3881649826553986</v>
      </c>
      <c r="N777" s="24">
        <f t="shared" si="242"/>
        <v>7.3866782533961404</v>
      </c>
      <c r="O777" s="24">
        <f t="shared" si="242"/>
        <v>8.2348057500636589</v>
      </c>
      <c r="P777" s="24">
        <f t="shared" si="242"/>
        <v>8.9359792026166023</v>
      </c>
      <c r="Q777" s="24">
        <f t="shared" si="242"/>
        <v>9.4823208105460104</v>
      </c>
      <c r="R777" s="24">
        <f t="shared" si="242"/>
        <v>9.8509914482145202</v>
      </c>
      <c r="S777" s="24">
        <f t="shared" si="242"/>
        <v>10.040863240576542</v>
      </c>
      <c r="T777" s="24">
        <f t="shared" si="242"/>
        <v>10.040863240576542</v>
      </c>
      <c r="U777" s="24">
        <f t="shared" si="242"/>
        <v>9.8509914482145202</v>
      </c>
      <c r="V777" s="24">
        <f t="shared" si="242"/>
        <v>9.4823208105460104</v>
      </c>
      <c r="W777" s="24">
        <f t="shared" si="242"/>
        <v>8.9359792026166023</v>
      </c>
      <c r="X777" s="24">
        <f t="shared" si="242"/>
        <v>8.2348057500636589</v>
      </c>
      <c r="Y777" s="24">
        <f t="shared" si="242"/>
        <v>7.3866782533961404</v>
      </c>
      <c r="Z777" s="24">
        <f t="shared" si="242"/>
        <v>6.3881649826553986</v>
      </c>
      <c r="AA777" s="24">
        <f t="shared" si="242"/>
        <v>5.289928076594923</v>
      </c>
      <c r="AB777" s="24">
        <f t="shared" si="242"/>
        <v>4.0743099377960457</v>
      </c>
      <c r="AC777" s="24">
        <f t="shared" si="242"/>
        <v>2.8080701767324707</v>
      </c>
      <c r="AD777" s="24">
        <f t="shared" si="242"/>
        <v>1.5231524953973494</v>
      </c>
      <c r="AE777" s="24">
        <f t="shared" si="242"/>
        <v>0.37688330992663926</v>
      </c>
      <c r="AF777" s="28"/>
      <c r="AG777" s="11"/>
    </row>
    <row r="778" spans="1:33">
      <c r="A778" s="20"/>
      <c r="B778" s="24" t="s">
        <v>83</v>
      </c>
      <c r="C778" s="11"/>
      <c r="G778" s="19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8"/>
      <c r="AG778" s="11"/>
    </row>
    <row r="779" spans="1:33">
      <c r="A779" s="100" t="s">
        <v>836</v>
      </c>
      <c r="B779" s="5"/>
      <c r="C779" s="11"/>
      <c r="G779" s="19">
        <f>SUM(H779:AE779)/48</f>
        <v>0.10744886236158757</v>
      </c>
      <c r="H779" s="2">
        <f>H777^2/(H766+H771)</f>
        <v>1.2902111393197687E-2</v>
      </c>
      <c r="I779" s="2">
        <f t="shared" ref="I779:AE779" si="243">I777^2/(I766+I771)</f>
        <v>5.2615869785997194E-2</v>
      </c>
      <c r="J779" s="2">
        <f t="shared" si="243"/>
        <v>9.7274561040497781E-2</v>
      </c>
      <c r="K779" s="2">
        <f t="shared" si="243"/>
        <v>0.14130888314267198</v>
      </c>
      <c r="L779" s="2">
        <f t="shared" si="243"/>
        <v>0.18360456214873347</v>
      </c>
      <c r="M779" s="2">
        <f t="shared" si="243"/>
        <v>0.22180769649851839</v>
      </c>
      <c r="N779" s="2">
        <f t="shared" si="243"/>
        <v>0.25655508437827312</v>
      </c>
      <c r="O779" s="2">
        <f t="shared" si="243"/>
        <v>0.28605881919428827</v>
      </c>
      <c r="P779" s="2">
        <f t="shared" si="243"/>
        <v>0.30968270913625606</v>
      </c>
      <c r="Q779" s="2">
        <f t="shared" si="243"/>
        <v>0.32864980165632118</v>
      </c>
      <c r="R779" s="2">
        <f t="shared" si="243"/>
        <v>0.34145069655004512</v>
      </c>
      <c r="S779" s="2">
        <f t="shared" si="243"/>
        <v>0.34804397926230324</v>
      </c>
      <c r="T779" s="2">
        <f t="shared" si="243"/>
        <v>0.34804397926230324</v>
      </c>
      <c r="U779" s="2">
        <f t="shared" si="243"/>
        <v>0.34145069655004512</v>
      </c>
      <c r="V779" s="2">
        <f t="shared" si="243"/>
        <v>0.32864980165632118</v>
      </c>
      <c r="W779" s="2">
        <f t="shared" si="243"/>
        <v>0.30968270913625606</v>
      </c>
      <c r="X779" s="2">
        <f t="shared" si="243"/>
        <v>0.28534545555539981</v>
      </c>
      <c r="Y779" s="2">
        <f t="shared" si="243"/>
        <v>0.25591529613792829</v>
      </c>
      <c r="Z779" s="2">
        <f t="shared" si="243"/>
        <v>0.22125456009827274</v>
      </c>
      <c r="AA779" s="2">
        <f t="shared" si="243"/>
        <v>0.18314669541020798</v>
      </c>
      <c r="AB779" s="2">
        <f t="shared" si="243"/>
        <v>0.14130888314267198</v>
      </c>
      <c r="AC779" s="2">
        <f t="shared" si="243"/>
        <v>9.7274561040497781E-2</v>
      </c>
      <c r="AD779" s="2">
        <f t="shared" si="243"/>
        <v>5.2615869785997194E-2</v>
      </c>
      <c r="AE779" s="2">
        <f t="shared" si="243"/>
        <v>1.2902111393197687E-2</v>
      </c>
      <c r="AF779" s="28"/>
      <c r="AG779" s="11"/>
    </row>
    <row r="780" spans="1:33" ht="18">
      <c r="A780" s="100"/>
      <c r="B780" s="24" t="s">
        <v>84</v>
      </c>
      <c r="C780" s="11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8"/>
      <c r="AG780" s="11"/>
    </row>
    <row r="781" spans="1:33" ht="18">
      <c r="A781" s="20" t="s">
        <v>890</v>
      </c>
      <c r="G781" s="19">
        <f>(SUM(H781:AE781)+24*$T$24*(1-$H$719))/48</f>
        <v>213.8218722341509</v>
      </c>
      <c r="H781" s="2">
        <f t="shared" ref="H781:AE781" si="244">$T$24*(1-H$27)*(1-$H$719)</f>
        <v>285.09582964553454</v>
      </c>
      <c r="I781" s="2">
        <f t="shared" si="244"/>
        <v>285.09582964553454</v>
      </c>
      <c r="J781" s="2">
        <f t="shared" si="244"/>
        <v>285.09582964553454</v>
      </c>
      <c r="K781" s="2">
        <f t="shared" si="244"/>
        <v>285.09582964553454</v>
      </c>
      <c r="L781" s="2">
        <f t="shared" si="244"/>
        <v>285.09582964553454</v>
      </c>
      <c r="M781" s="2">
        <f t="shared" si="244"/>
        <v>285.09582964553454</v>
      </c>
      <c r="N781" s="2">
        <f t="shared" si="244"/>
        <v>285.09582964553454</v>
      </c>
      <c r="O781" s="2">
        <f t="shared" si="244"/>
        <v>285.09582964553454</v>
      </c>
      <c r="P781" s="2">
        <f t="shared" si="244"/>
        <v>0</v>
      </c>
      <c r="Q781" s="2">
        <f t="shared" si="244"/>
        <v>0</v>
      </c>
      <c r="R781" s="2">
        <f t="shared" si="244"/>
        <v>0</v>
      </c>
      <c r="S781" s="2">
        <f t="shared" si="244"/>
        <v>0</v>
      </c>
      <c r="T781" s="2">
        <f t="shared" si="244"/>
        <v>0</v>
      </c>
      <c r="U781" s="2">
        <f t="shared" si="244"/>
        <v>0</v>
      </c>
      <c r="V781" s="2">
        <f t="shared" si="244"/>
        <v>0</v>
      </c>
      <c r="W781" s="2">
        <f t="shared" si="244"/>
        <v>0</v>
      </c>
      <c r="X781" s="2">
        <f t="shared" si="244"/>
        <v>0</v>
      </c>
      <c r="Y781" s="2">
        <f t="shared" si="244"/>
        <v>0</v>
      </c>
      <c r="Z781" s="2">
        <f t="shared" si="244"/>
        <v>0</v>
      </c>
      <c r="AA781" s="2">
        <f t="shared" si="244"/>
        <v>0</v>
      </c>
      <c r="AB781" s="2">
        <f t="shared" si="244"/>
        <v>285.09582964553454</v>
      </c>
      <c r="AC781" s="2">
        <f t="shared" si="244"/>
        <v>285.09582964553454</v>
      </c>
      <c r="AD781" s="2">
        <f t="shared" si="244"/>
        <v>285.09582964553454</v>
      </c>
      <c r="AE781" s="2">
        <f t="shared" si="244"/>
        <v>285.09582964553454</v>
      </c>
      <c r="AF781" s="2"/>
    </row>
    <row r="782" spans="1:33">
      <c r="A782" s="14"/>
      <c r="B782" s="5" t="s">
        <v>69</v>
      </c>
      <c r="D782" t="s">
        <v>257</v>
      </c>
      <c r="E782" s="12"/>
      <c r="F782" s="6"/>
      <c r="G782" s="2" t="s">
        <v>860</v>
      </c>
      <c r="I782" s="2" t="s">
        <v>47</v>
      </c>
      <c r="J782" s="10"/>
      <c r="K782" s="9"/>
      <c r="AF782" s="2"/>
    </row>
    <row r="783" spans="1:33" ht="18">
      <c r="A783" s="20" t="s">
        <v>891</v>
      </c>
      <c r="D783" s="105" t="s">
        <v>892</v>
      </c>
      <c r="E783">
        <f>$F$7</f>
        <v>-5</v>
      </c>
      <c r="F783" s="5" t="s">
        <v>893</v>
      </c>
      <c r="G783" s="19">
        <f>SUM(H783:AE783)/48</f>
        <v>66.194127351477249</v>
      </c>
      <c r="H783" s="2">
        <f>$M$9*($F$7+273)^4*H$27*(1-$H$719)</f>
        <v>0</v>
      </c>
      <c r="I783" s="2">
        <f t="shared" ref="I783:AE783" si="245">$M$9*($F$7+273)^4*I$27*(1-$H$719)</f>
        <v>0</v>
      </c>
      <c r="J783" s="2">
        <f t="shared" si="245"/>
        <v>0</v>
      </c>
      <c r="K783" s="2">
        <f t="shared" si="245"/>
        <v>0</v>
      </c>
      <c r="L783" s="2">
        <f t="shared" si="245"/>
        <v>0</v>
      </c>
      <c r="M783" s="2">
        <f t="shared" si="245"/>
        <v>0</v>
      </c>
      <c r="N783" s="2">
        <f t="shared" si="245"/>
        <v>0</v>
      </c>
      <c r="O783" s="2">
        <f t="shared" si="245"/>
        <v>0</v>
      </c>
      <c r="P783" s="2">
        <f t="shared" si="245"/>
        <v>264.77650940590894</v>
      </c>
      <c r="Q783" s="2">
        <f t="shared" si="245"/>
        <v>264.77650940590894</v>
      </c>
      <c r="R783" s="2">
        <f t="shared" si="245"/>
        <v>264.77650940590894</v>
      </c>
      <c r="S783" s="2">
        <f t="shared" si="245"/>
        <v>264.77650940590894</v>
      </c>
      <c r="T783" s="2">
        <f t="shared" si="245"/>
        <v>264.77650940590894</v>
      </c>
      <c r="U783" s="2">
        <f t="shared" si="245"/>
        <v>264.77650940590894</v>
      </c>
      <c r="V783" s="2">
        <f t="shared" si="245"/>
        <v>264.77650940590894</v>
      </c>
      <c r="W783" s="2">
        <f t="shared" si="245"/>
        <v>264.77650940590894</v>
      </c>
      <c r="X783" s="2">
        <f t="shared" si="245"/>
        <v>264.77650940590894</v>
      </c>
      <c r="Y783" s="2">
        <f t="shared" si="245"/>
        <v>264.77650940590894</v>
      </c>
      <c r="Z783" s="2">
        <f t="shared" si="245"/>
        <v>264.77650940590894</v>
      </c>
      <c r="AA783" s="2">
        <f t="shared" si="245"/>
        <v>264.77650940590894</v>
      </c>
      <c r="AB783" s="2">
        <f t="shared" si="245"/>
        <v>0</v>
      </c>
      <c r="AC783" s="2">
        <f t="shared" si="245"/>
        <v>0</v>
      </c>
      <c r="AD783" s="2">
        <f t="shared" si="245"/>
        <v>0</v>
      </c>
      <c r="AE783" s="2">
        <f t="shared" si="245"/>
        <v>0</v>
      </c>
      <c r="AF783" s="2"/>
    </row>
    <row r="784" spans="1:33">
      <c r="A784" s="14"/>
      <c r="B784" t="s">
        <v>48</v>
      </c>
      <c r="D784" t="s">
        <v>744</v>
      </c>
      <c r="E784" s="30"/>
      <c r="F784" t="s">
        <v>618</v>
      </c>
      <c r="H784" s="2" t="s">
        <v>860</v>
      </c>
      <c r="I784" s="2"/>
      <c r="J784" s="2" t="s">
        <v>49</v>
      </c>
      <c r="K784" s="9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3">
      <c r="A785" s="20" t="s">
        <v>914</v>
      </c>
      <c r="B785" s="11"/>
      <c r="C785" s="11"/>
      <c r="D785" s="11"/>
      <c r="E785" s="27"/>
      <c r="F785" s="6"/>
      <c r="G785" s="19">
        <f>SUM(H785:AE785)/24</f>
        <v>12.551783676120003</v>
      </c>
      <c r="H785" s="24">
        <f t="shared" ref="H785:AE785" si="246">$M$9*($F$9+273)^4*$F$11*$H$18</f>
        <v>12.551783676119999</v>
      </c>
      <c r="I785" s="24">
        <f t="shared" si="246"/>
        <v>12.551783676119999</v>
      </c>
      <c r="J785" s="24">
        <f t="shared" si="246"/>
        <v>12.551783676119999</v>
      </c>
      <c r="K785" s="24">
        <f t="shared" si="246"/>
        <v>12.551783676119999</v>
      </c>
      <c r="L785" s="24">
        <f t="shared" si="246"/>
        <v>12.551783676119999</v>
      </c>
      <c r="M785" s="24">
        <f t="shared" si="246"/>
        <v>12.551783676119999</v>
      </c>
      <c r="N785" s="24">
        <f t="shared" si="246"/>
        <v>12.551783676119999</v>
      </c>
      <c r="O785" s="24">
        <f t="shared" si="246"/>
        <v>12.551783676119999</v>
      </c>
      <c r="P785" s="24">
        <f t="shared" si="246"/>
        <v>12.551783676119999</v>
      </c>
      <c r="Q785" s="24">
        <f t="shared" si="246"/>
        <v>12.551783676119999</v>
      </c>
      <c r="R785" s="24">
        <f t="shared" si="246"/>
        <v>12.551783676119999</v>
      </c>
      <c r="S785" s="24">
        <f t="shared" si="246"/>
        <v>12.551783676119999</v>
      </c>
      <c r="T785" s="24">
        <f t="shared" si="246"/>
        <v>12.551783676119999</v>
      </c>
      <c r="U785" s="24">
        <f t="shared" si="246"/>
        <v>12.551783676119999</v>
      </c>
      <c r="V785" s="24">
        <f t="shared" si="246"/>
        <v>12.551783676119999</v>
      </c>
      <c r="W785" s="24">
        <f t="shared" si="246"/>
        <v>12.551783676119999</v>
      </c>
      <c r="X785" s="24">
        <f t="shared" si="246"/>
        <v>12.551783676119999</v>
      </c>
      <c r="Y785" s="24">
        <f t="shared" si="246"/>
        <v>12.551783676119999</v>
      </c>
      <c r="Z785" s="24">
        <f t="shared" si="246"/>
        <v>12.551783676119999</v>
      </c>
      <c r="AA785" s="24">
        <f t="shared" si="246"/>
        <v>12.551783676119999</v>
      </c>
      <c r="AB785" s="24">
        <f t="shared" si="246"/>
        <v>12.551783676119999</v>
      </c>
      <c r="AC785" s="24">
        <f t="shared" si="246"/>
        <v>12.551783676119999</v>
      </c>
      <c r="AD785" s="24">
        <f t="shared" si="246"/>
        <v>12.551783676119999</v>
      </c>
      <c r="AE785" s="24">
        <f t="shared" si="246"/>
        <v>12.551783676119999</v>
      </c>
      <c r="AF785" s="28"/>
      <c r="AG785" s="11"/>
    </row>
    <row r="786" spans="1:33">
      <c r="A786" s="20"/>
      <c r="B786" s="5" t="s">
        <v>272</v>
      </c>
      <c r="C786" s="11"/>
      <c r="D786" t="s">
        <v>743</v>
      </c>
      <c r="E786" s="27"/>
      <c r="F786" s="6"/>
      <c r="G786" s="28"/>
      <c r="H786" t="s">
        <v>717</v>
      </c>
      <c r="I786" s="29"/>
      <c r="J786" s="11"/>
      <c r="K786" s="2" t="s">
        <v>273</v>
      </c>
      <c r="L786" s="11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11"/>
    </row>
    <row r="787" spans="1:33">
      <c r="A787" s="20"/>
      <c r="B787" s="27" t="s">
        <v>925</v>
      </c>
      <c r="C787" s="11" t="s">
        <v>266</v>
      </c>
      <c r="E787" s="27"/>
      <c r="F787" s="6"/>
      <c r="G787" s="28"/>
      <c r="I787" s="29"/>
      <c r="J787" s="11"/>
      <c r="K787" s="2"/>
      <c r="L787" s="11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11"/>
    </row>
    <row r="788" spans="1:33">
      <c r="A788" s="20"/>
      <c r="B788" s="14"/>
      <c r="C788" t="s">
        <v>274</v>
      </c>
      <c r="E788" s="27"/>
      <c r="F788" s="6"/>
      <c r="G788" s="28"/>
      <c r="I788" s="29"/>
      <c r="J788" s="11"/>
      <c r="K788" s="2"/>
      <c r="L788" s="11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11"/>
    </row>
    <row r="789" spans="1:33">
      <c r="A789" s="3"/>
      <c r="B789" s="16" t="s">
        <v>333</v>
      </c>
      <c r="E789" s="12"/>
      <c r="F789" s="6"/>
      <c r="G789" s="32">
        <f>G760+G766+G771+G777+G779+G781+G783+G785</f>
        <v>399.99440251356242</v>
      </c>
      <c r="H789" s="2"/>
      <c r="I789" s="29"/>
      <c r="K789" s="10"/>
      <c r="L789" s="3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3">
      <c r="A790" s="20"/>
      <c r="B790" s="16" t="s">
        <v>725</v>
      </c>
      <c r="E790" s="30"/>
      <c r="F790" s="6"/>
      <c r="G790" s="32">
        <f>G757-G789</f>
        <v>15.451852784579557</v>
      </c>
      <c r="H790" s="33"/>
      <c r="I790" s="8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3">
      <c r="A791" s="39" t="s">
        <v>511</v>
      </c>
      <c r="B791" s="16"/>
      <c r="E791" s="30"/>
      <c r="F791" s="12"/>
      <c r="G791" s="32"/>
      <c r="H791" s="33"/>
      <c r="I791" s="3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3">
      <c r="A792" s="3" t="s">
        <v>977</v>
      </c>
      <c r="E792" s="12"/>
      <c r="F792" s="6"/>
      <c r="G792" s="87" t="s">
        <v>535</v>
      </c>
      <c r="H792" s="21"/>
      <c r="I792" s="2"/>
      <c r="J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3">
      <c r="A793" s="20" t="s">
        <v>935</v>
      </c>
      <c r="B793" s="11"/>
      <c r="C793" s="11"/>
      <c r="E793" s="14" t="s">
        <v>563</v>
      </c>
      <c r="F793" s="31">
        <f>$F$15</f>
        <v>0.7</v>
      </c>
      <c r="G793" s="19">
        <f>SUM(H793:AE793)/48</f>
        <v>104.29883543123344</v>
      </c>
      <c r="H793" s="2">
        <f>H$68*$F$15</f>
        <v>21.041633982918135</v>
      </c>
      <c r="I793" s="2">
        <f t="shared" ref="I793:AE793" si="247">I$68*$F$15</f>
        <v>63.584137704130541</v>
      </c>
      <c r="J793" s="2">
        <f t="shared" si="247"/>
        <v>105.00476228302121</v>
      </c>
      <c r="K793" s="2">
        <f t="shared" si="247"/>
        <v>144.74147889456404</v>
      </c>
      <c r="L793" s="2">
        <f t="shared" si="247"/>
        <v>181.92931482694456</v>
      </c>
      <c r="M793" s="2">
        <f t="shared" si="247"/>
        <v>215.90653173783033</v>
      </c>
      <c r="N793" s="2">
        <f t="shared" si="247"/>
        <v>246.21176102777972</v>
      </c>
      <c r="O793" s="2">
        <f t="shared" si="247"/>
        <v>272.41474913397963</v>
      </c>
      <c r="P793" s="2">
        <f t="shared" si="247"/>
        <v>293.79167703972053</v>
      </c>
      <c r="Q793" s="2">
        <f t="shared" si="247"/>
        <v>310.27257106759311</v>
      </c>
      <c r="R793" s="2">
        <f t="shared" si="247"/>
        <v>321.30825460976041</v>
      </c>
      <c r="S793" s="2">
        <f t="shared" si="247"/>
        <v>326.96517804136033</v>
      </c>
      <c r="T793" s="2">
        <f t="shared" si="247"/>
        <v>326.96517804136033</v>
      </c>
      <c r="U793" s="2">
        <f t="shared" si="247"/>
        <v>321.30825460976041</v>
      </c>
      <c r="V793" s="2">
        <f t="shared" si="247"/>
        <v>310.27257106759311</v>
      </c>
      <c r="W793" s="2">
        <f t="shared" si="247"/>
        <v>293.79167703972053</v>
      </c>
      <c r="X793" s="2">
        <f t="shared" si="247"/>
        <v>272.41474913397963</v>
      </c>
      <c r="Y793" s="2">
        <f t="shared" si="247"/>
        <v>246.21176102777972</v>
      </c>
      <c r="Z793" s="2">
        <f t="shared" si="247"/>
        <v>215.90653173783033</v>
      </c>
      <c r="AA793" s="2">
        <f t="shared" si="247"/>
        <v>181.92931482694456</v>
      </c>
      <c r="AB793" s="2">
        <f t="shared" si="247"/>
        <v>144.74147889456404</v>
      </c>
      <c r="AC793" s="2">
        <f t="shared" si="247"/>
        <v>105.00476228302121</v>
      </c>
      <c r="AD793" s="2">
        <f t="shared" si="247"/>
        <v>63.584137704130541</v>
      </c>
      <c r="AE793" s="2">
        <f t="shared" si="247"/>
        <v>21.041633982918135</v>
      </c>
      <c r="AF793" s="28"/>
      <c r="AG793" s="11"/>
    </row>
    <row r="794" spans="1:33">
      <c r="A794" s="3"/>
      <c r="B794" s="5" t="s">
        <v>56</v>
      </c>
      <c r="C794" s="11"/>
      <c r="D794" t="s">
        <v>79</v>
      </c>
      <c r="F794" s="27"/>
      <c r="G794" s="2"/>
      <c r="H794" s="2" t="s">
        <v>1019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8"/>
      <c r="AG794" s="11"/>
    </row>
    <row r="795" spans="1:33">
      <c r="A795" s="20" t="s">
        <v>936</v>
      </c>
      <c r="B795" s="11"/>
      <c r="C795" s="11"/>
      <c r="D795" s="24" t="s">
        <v>1013</v>
      </c>
      <c r="E795" s="27"/>
      <c r="F795" s="6" t="s">
        <v>1049</v>
      </c>
      <c r="G795" s="19">
        <f>SUM(H795:AE795)/24</f>
        <v>294.0451576320001</v>
      </c>
      <c r="H795" s="2">
        <f>$M$9*($F$7+273)^4</f>
        <v>294.04515763199998</v>
      </c>
      <c r="I795" s="2">
        <f t="shared" ref="I795:AE795" si="248">$M$9*($F$7+273)^4</f>
        <v>294.04515763199998</v>
      </c>
      <c r="J795" s="2">
        <f t="shared" si="248"/>
        <v>294.04515763199998</v>
      </c>
      <c r="K795" s="2">
        <f t="shared" si="248"/>
        <v>294.04515763199998</v>
      </c>
      <c r="L795" s="2">
        <f t="shared" si="248"/>
        <v>294.04515763199998</v>
      </c>
      <c r="M795" s="2">
        <f t="shared" si="248"/>
        <v>294.04515763199998</v>
      </c>
      <c r="N795" s="2">
        <f t="shared" si="248"/>
        <v>294.04515763199998</v>
      </c>
      <c r="O795" s="2">
        <f t="shared" si="248"/>
        <v>294.04515763199998</v>
      </c>
      <c r="P795" s="2">
        <f t="shared" si="248"/>
        <v>294.04515763199998</v>
      </c>
      <c r="Q795" s="2">
        <f t="shared" si="248"/>
        <v>294.04515763199998</v>
      </c>
      <c r="R795" s="2">
        <f t="shared" si="248"/>
        <v>294.04515763199998</v>
      </c>
      <c r="S795" s="2">
        <f t="shared" si="248"/>
        <v>294.04515763199998</v>
      </c>
      <c r="T795" s="2">
        <f t="shared" si="248"/>
        <v>294.04515763199998</v>
      </c>
      <c r="U795" s="2">
        <f t="shared" si="248"/>
        <v>294.04515763199998</v>
      </c>
      <c r="V795" s="2">
        <f t="shared" si="248"/>
        <v>294.04515763199998</v>
      </c>
      <c r="W795" s="2">
        <f t="shared" si="248"/>
        <v>294.04515763199998</v>
      </c>
      <c r="X795" s="2">
        <f t="shared" si="248"/>
        <v>294.04515763199998</v>
      </c>
      <c r="Y795" s="2">
        <f t="shared" si="248"/>
        <v>294.04515763199998</v>
      </c>
      <c r="Z795" s="2">
        <f t="shared" si="248"/>
        <v>294.04515763199998</v>
      </c>
      <c r="AA795" s="2">
        <f t="shared" si="248"/>
        <v>294.04515763199998</v>
      </c>
      <c r="AB795" s="2">
        <f t="shared" si="248"/>
        <v>294.04515763199998</v>
      </c>
      <c r="AC795" s="2">
        <f t="shared" si="248"/>
        <v>294.04515763199998</v>
      </c>
      <c r="AD795" s="2">
        <f t="shared" si="248"/>
        <v>294.04515763199998</v>
      </c>
      <c r="AE795" s="2">
        <f t="shared" si="248"/>
        <v>294.04515763199998</v>
      </c>
      <c r="AF795" s="28"/>
      <c r="AG795" s="11"/>
    </row>
    <row r="796" spans="1:33">
      <c r="A796" s="20"/>
      <c r="B796" s="16" t="s">
        <v>729</v>
      </c>
      <c r="C796" s="11"/>
      <c r="D796" s="11"/>
      <c r="E796" s="21"/>
      <c r="F796" s="21"/>
      <c r="G796" s="82">
        <f>G793+G795</f>
        <v>398.34399306323354</v>
      </c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8"/>
      <c r="AG796" s="11"/>
    </row>
    <row r="797" spans="1:33">
      <c r="A797" s="39" t="s">
        <v>511</v>
      </c>
      <c r="B797" s="16"/>
      <c r="C797" s="11"/>
      <c r="D797" s="11"/>
      <c r="E797" s="21"/>
      <c r="F797" s="21"/>
      <c r="G797" s="82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8"/>
      <c r="AG797" s="11"/>
    </row>
    <row r="798" spans="1:33">
      <c r="A798" s="3" t="s">
        <v>329</v>
      </c>
      <c r="B798" s="16"/>
      <c r="C798" s="11"/>
      <c r="D798" s="11"/>
      <c r="E798" s="21"/>
      <c r="F798" s="21"/>
      <c r="G798" s="82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8"/>
      <c r="AG798" s="11"/>
    </row>
    <row r="799" spans="1:33">
      <c r="A799" s="3" t="s">
        <v>877</v>
      </c>
      <c r="G799" s="19">
        <f>SUM(H799:AE799)/48</f>
        <v>14.800319988010564</v>
      </c>
      <c r="H799" s="24">
        <f>H$68*H$718*$F$16</f>
        <v>13.50841858812389</v>
      </c>
      <c r="I799" s="24">
        <f t="shared" ref="I799:AE799" si="249">I$68*I$718*$F$16</f>
        <v>24.545283709990649</v>
      </c>
      <c r="J799" s="24">
        <f t="shared" si="249"/>
        <v>28.138887031591903</v>
      </c>
      <c r="K799" s="24">
        <f t="shared" si="249"/>
        <v>30.165117912530668</v>
      </c>
      <c r="L799" s="24">
        <f t="shared" si="249"/>
        <v>30.765400751446684</v>
      </c>
      <c r="M799" s="24">
        <f t="shared" si="249"/>
        <v>31.840315584310364</v>
      </c>
      <c r="N799" s="24">
        <f t="shared" si="249"/>
        <v>31.995858252075784</v>
      </c>
      <c r="O799" s="24">
        <f t="shared" si="249"/>
        <v>32.77506152461018</v>
      </c>
      <c r="P799" s="24">
        <f t="shared" si="249"/>
        <v>33.018833605851057</v>
      </c>
      <c r="Q799" s="24">
        <f t="shared" si="249"/>
        <v>32.962810560471766</v>
      </c>
      <c r="R799" s="24">
        <f t="shared" si="249"/>
        <v>32.805113766147237</v>
      </c>
      <c r="S799" s="24">
        <f t="shared" si="249"/>
        <v>32.686578425103328</v>
      </c>
      <c r="T799" s="24">
        <f t="shared" si="249"/>
        <v>32.686578425103328</v>
      </c>
      <c r="U799" s="24">
        <f t="shared" si="249"/>
        <v>32.805113766147237</v>
      </c>
      <c r="V799" s="24">
        <f t="shared" si="249"/>
        <v>32.962810560471766</v>
      </c>
      <c r="W799" s="24">
        <f t="shared" si="249"/>
        <v>33.018833605851057</v>
      </c>
      <c r="X799" s="24">
        <f t="shared" si="249"/>
        <v>32.77506152461018</v>
      </c>
      <c r="Y799" s="24">
        <f t="shared" si="249"/>
        <v>31.995858252075784</v>
      </c>
      <c r="Z799" s="24">
        <f t="shared" si="249"/>
        <v>31.840315584310364</v>
      </c>
      <c r="AA799" s="24">
        <f t="shared" si="249"/>
        <v>30.765400751446684</v>
      </c>
      <c r="AB799" s="24">
        <f t="shared" si="249"/>
        <v>30.165117912530668</v>
      </c>
      <c r="AC799" s="24">
        <f t="shared" si="249"/>
        <v>28.138887031591903</v>
      </c>
      <c r="AD799" s="24">
        <f t="shared" si="249"/>
        <v>24.545283709990649</v>
      </c>
      <c r="AE799" s="24">
        <f t="shared" si="249"/>
        <v>13.50841858812389</v>
      </c>
      <c r="AF799" s="28"/>
      <c r="AG799" s="11"/>
    </row>
    <row r="800" spans="1:33">
      <c r="B800" s="5" t="s">
        <v>52</v>
      </c>
      <c r="D800" t="s">
        <v>55</v>
      </c>
      <c r="G800" t="s">
        <v>894</v>
      </c>
      <c r="J800" s="2"/>
      <c r="K800" s="2" t="s">
        <v>41</v>
      </c>
      <c r="L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3">
      <c r="A801" t="s">
        <v>879</v>
      </c>
      <c r="C801" s="11"/>
      <c r="G801" s="98">
        <f>SUM(H801:AE801)/48</f>
        <v>133.9020099425627</v>
      </c>
      <c r="H801" s="97">
        <f>H$68*(1-($F$16+$F$13)*H$718)</f>
        <v>16.280890158568113</v>
      </c>
      <c r="I801" s="97">
        <f t="shared" ref="I801:AE801" si="250">I$68*(1-($F$16+$F$13)*I$718)</f>
        <v>65.798293050281742</v>
      </c>
      <c r="J801" s="97">
        <f t="shared" si="250"/>
        <v>121.30513848923515</v>
      </c>
      <c r="K801" s="97">
        <f t="shared" si="250"/>
        <v>176.00512100716736</v>
      </c>
      <c r="L801" s="97">
        <f t="shared" si="250"/>
        <v>228.51831241487375</v>
      </c>
      <c r="M801" s="97">
        <f t="shared" si="250"/>
        <v>275.96078058661823</v>
      </c>
      <c r="N801" s="97">
        <f t="shared" si="250"/>
        <v>319.09531176542515</v>
      </c>
      <c r="O801" s="97">
        <f t="shared" si="250"/>
        <v>355.73336457915428</v>
      </c>
      <c r="P801" s="97">
        <f t="shared" si="250"/>
        <v>386.02318549306131</v>
      </c>
      <c r="Q801" s="97">
        <f t="shared" si="250"/>
        <v>409.62446332488042</v>
      </c>
      <c r="R801" s="97">
        <f t="shared" si="250"/>
        <v>425.55057625818762</v>
      </c>
      <c r="S801" s="97">
        <f t="shared" si="250"/>
        <v>433.75280149405228</v>
      </c>
      <c r="T801" s="97">
        <f t="shared" si="250"/>
        <v>433.75280149405228</v>
      </c>
      <c r="U801" s="97">
        <f t="shared" si="250"/>
        <v>425.55057625818762</v>
      </c>
      <c r="V801" s="97">
        <f t="shared" si="250"/>
        <v>409.62446332488042</v>
      </c>
      <c r="W801" s="97">
        <f t="shared" si="250"/>
        <v>386.02318549306131</v>
      </c>
      <c r="X801" s="97">
        <f t="shared" si="250"/>
        <v>355.73336457915428</v>
      </c>
      <c r="Y801" s="97">
        <f t="shared" si="250"/>
        <v>319.09531176542515</v>
      </c>
      <c r="Z801" s="97">
        <f t="shared" si="250"/>
        <v>275.96078058661823</v>
      </c>
      <c r="AA801" s="97">
        <f t="shared" si="250"/>
        <v>228.51831241487375</v>
      </c>
      <c r="AB801" s="97">
        <f t="shared" si="250"/>
        <v>176.00512100716736</v>
      </c>
      <c r="AC801" s="97">
        <f t="shared" si="250"/>
        <v>121.30513848923515</v>
      </c>
      <c r="AD801" s="97">
        <f t="shared" si="250"/>
        <v>65.798293050281742</v>
      </c>
      <c r="AE801" s="97">
        <f t="shared" si="250"/>
        <v>16.280890158568113</v>
      </c>
      <c r="AF801" s="28"/>
      <c r="AG801" s="11"/>
    </row>
    <row r="802" spans="1:33">
      <c r="B802" s="24" t="s">
        <v>53</v>
      </c>
      <c r="D802" s="2" t="s">
        <v>57</v>
      </c>
      <c r="E802" s="106" t="s">
        <v>970</v>
      </c>
      <c r="G802" t="s">
        <v>853</v>
      </c>
      <c r="I802" t="s">
        <v>40</v>
      </c>
      <c r="AF802" s="28"/>
      <c r="AG802" s="11"/>
    </row>
    <row r="803" spans="1:33">
      <c r="A803" t="s">
        <v>895</v>
      </c>
      <c r="C803" s="11"/>
      <c r="D803" s="24"/>
      <c r="G803" s="97">
        <f>SUM(H803:AE803)/48</f>
        <v>93.731406959793915</v>
      </c>
      <c r="H803" s="97">
        <f>H801*$F$15</f>
        <v>11.396623110997679</v>
      </c>
      <c r="I803" s="97">
        <f t="shared" ref="I803:AE803" si="251">I801*$F$15</f>
        <v>46.058805135197218</v>
      </c>
      <c r="J803" s="97">
        <f t="shared" si="251"/>
        <v>84.913596942464594</v>
      </c>
      <c r="K803" s="97">
        <f t="shared" si="251"/>
        <v>123.20358470501715</v>
      </c>
      <c r="L803" s="97">
        <f t="shared" si="251"/>
        <v>159.96281869041161</v>
      </c>
      <c r="M803" s="97">
        <f t="shared" si="251"/>
        <v>193.17254641063275</v>
      </c>
      <c r="N803" s="97">
        <f t="shared" si="251"/>
        <v>223.36671823579761</v>
      </c>
      <c r="O803" s="97">
        <f t="shared" si="251"/>
        <v>249.01335520540798</v>
      </c>
      <c r="P803" s="97">
        <f t="shared" si="251"/>
        <v>270.21622984514289</v>
      </c>
      <c r="Q803" s="97">
        <f t="shared" si="251"/>
        <v>286.73712432741627</v>
      </c>
      <c r="R803" s="97">
        <f t="shared" si="251"/>
        <v>297.8854033807313</v>
      </c>
      <c r="S803" s="97">
        <f t="shared" si="251"/>
        <v>303.62696104583659</v>
      </c>
      <c r="T803" s="97">
        <f t="shared" si="251"/>
        <v>303.62696104583659</v>
      </c>
      <c r="U803" s="97">
        <f t="shared" si="251"/>
        <v>297.8854033807313</v>
      </c>
      <c r="V803" s="97">
        <f t="shared" si="251"/>
        <v>286.73712432741627</v>
      </c>
      <c r="W803" s="97">
        <f t="shared" si="251"/>
        <v>270.21622984514289</v>
      </c>
      <c r="X803" s="97">
        <f t="shared" si="251"/>
        <v>249.01335520540798</v>
      </c>
      <c r="Y803" s="97">
        <f t="shared" si="251"/>
        <v>223.36671823579761</v>
      </c>
      <c r="Z803" s="97">
        <f t="shared" si="251"/>
        <v>193.17254641063275</v>
      </c>
      <c r="AA803" s="97">
        <f t="shared" si="251"/>
        <v>159.96281869041161</v>
      </c>
      <c r="AB803" s="97">
        <f t="shared" si="251"/>
        <v>123.20358470501715</v>
      </c>
      <c r="AC803" s="97">
        <f t="shared" si="251"/>
        <v>84.913596942464594</v>
      </c>
      <c r="AD803" s="97">
        <f t="shared" si="251"/>
        <v>46.058805135197218</v>
      </c>
      <c r="AE803" s="97">
        <f t="shared" si="251"/>
        <v>11.396623110997679</v>
      </c>
      <c r="AF803" s="28"/>
      <c r="AG803" s="11"/>
    </row>
    <row r="804" spans="1:33">
      <c r="B804" s="24" t="s">
        <v>938</v>
      </c>
      <c r="C804" s="14" t="s">
        <v>897</v>
      </c>
      <c r="D804" s="24" t="s">
        <v>85</v>
      </c>
      <c r="I804" s="24"/>
      <c r="AF804" s="28"/>
      <c r="AG804" s="11"/>
    </row>
    <row r="805" spans="1:33">
      <c r="A805" s="20" t="s">
        <v>896</v>
      </c>
      <c r="B805" s="11"/>
      <c r="C805" s="11"/>
      <c r="E805" s="14" t="s">
        <v>563</v>
      </c>
      <c r="F805" s="31">
        <f>$F$15</f>
        <v>0.7</v>
      </c>
      <c r="G805" s="19">
        <f>SUM(H805:AE805)/48</f>
        <v>88.973193234836572</v>
      </c>
      <c r="H805" s="2">
        <f>H803*(1-($F$16+$F$13)*$H$719)</f>
        <v>10.818080973801594</v>
      </c>
      <c r="I805" s="2">
        <f t="shared" ref="I805:AE805" si="252">I803*(1-($F$16+$F$13)*$H$719)</f>
        <v>43.720659940775477</v>
      </c>
      <c r="J805" s="2">
        <f t="shared" si="252"/>
        <v>80.603013590393061</v>
      </c>
      <c r="K805" s="2">
        <f t="shared" si="252"/>
        <v>116.94923510415371</v>
      </c>
      <c r="L805" s="2">
        <f t="shared" si="252"/>
        <v>151.84241055760648</v>
      </c>
      <c r="M805" s="2">
        <f t="shared" si="252"/>
        <v>183.36626811577793</v>
      </c>
      <c r="N805" s="2">
        <f t="shared" si="252"/>
        <v>212.02765250658959</v>
      </c>
      <c r="O805" s="2">
        <f t="shared" si="252"/>
        <v>236.37235468202638</v>
      </c>
      <c r="P805" s="2">
        <f t="shared" si="252"/>
        <v>256.49887922320136</v>
      </c>
      <c r="Q805" s="2">
        <f t="shared" si="252"/>
        <v>272.18110127513506</v>
      </c>
      <c r="R805" s="2">
        <f t="shared" si="252"/>
        <v>282.76344521532531</v>
      </c>
      <c r="S805" s="2">
        <f t="shared" si="252"/>
        <v>288.2135364512917</v>
      </c>
      <c r="T805" s="2">
        <f t="shared" si="252"/>
        <v>288.2135364512917</v>
      </c>
      <c r="U805" s="2">
        <f t="shared" si="252"/>
        <v>282.76344521532531</v>
      </c>
      <c r="V805" s="2">
        <f t="shared" si="252"/>
        <v>272.18110127513506</v>
      </c>
      <c r="W805" s="2">
        <f t="shared" si="252"/>
        <v>256.49887922320136</v>
      </c>
      <c r="X805" s="2">
        <f t="shared" si="252"/>
        <v>236.37235468202638</v>
      </c>
      <c r="Y805" s="2">
        <f t="shared" si="252"/>
        <v>212.02765250658959</v>
      </c>
      <c r="Z805" s="2">
        <f t="shared" si="252"/>
        <v>183.36626811577793</v>
      </c>
      <c r="AA805" s="2">
        <f t="shared" si="252"/>
        <v>151.84241055760648</v>
      </c>
      <c r="AB805" s="2">
        <f t="shared" si="252"/>
        <v>116.94923510415371</v>
      </c>
      <c r="AC805" s="2">
        <f t="shared" si="252"/>
        <v>80.603013590393061</v>
      </c>
      <c r="AD805" s="2">
        <f t="shared" si="252"/>
        <v>43.720659940775477</v>
      </c>
      <c r="AE805" s="2">
        <f t="shared" si="252"/>
        <v>10.818080973801594</v>
      </c>
      <c r="AF805" s="28"/>
      <c r="AG805" s="11"/>
    </row>
    <row r="806" spans="1:33">
      <c r="A806" s="3"/>
      <c r="B806" s="5" t="s">
        <v>86</v>
      </c>
      <c r="C806" s="11"/>
      <c r="D806" t="s">
        <v>42</v>
      </c>
      <c r="F806" s="27"/>
      <c r="G806" s="2"/>
      <c r="H806" s="2" t="s">
        <v>898</v>
      </c>
      <c r="I806" s="2"/>
      <c r="J806" s="2" t="s">
        <v>899</v>
      </c>
      <c r="K806" s="2"/>
      <c r="L806" t="s">
        <v>258</v>
      </c>
      <c r="M806" s="2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11"/>
    </row>
    <row r="807" spans="1:33">
      <c r="A807" t="s">
        <v>834</v>
      </c>
      <c r="B807" s="5"/>
      <c r="C807" s="11"/>
      <c r="D807" s="5" t="s">
        <v>58</v>
      </c>
      <c r="F807" t="s">
        <v>89</v>
      </c>
      <c r="G807" s="97">
        <f>SUM(H807:AE807)/48</f>
        <v>4.6649154166248277</v>
      </c>
      <c r="H807" s="97">
        <f>H803*$H$719*$F$16</f>
        <v>0.56719817372165038</v>
      </c>
      <c r="I807" s="97">
        <f t="shared" ref="I807:AE807" si="253">I803*$H$719*$F$16</f>
        <v>2.29229921021739</v>
      </c>
      <c r="J807" s="97">
        <f t="shared" si="253"/>
        <v>4.2260621098740518</v>
      </c>
      <c r="K807" s="97">
        <f t="shared" si="253"/>
        <v>6.1317152949641498</v>
      </c>
      <c r="L807" s="97">
        <f t="shared" si="253"/>
        <v>7.9611844439265864</v>
      </c>
      <c r="M807" s="97">
        <f t="shared" si="253"/>
        <v>9.6139983282890142</v>
      </c>
      <c r="N807" s="97">
        <f t="shared" si="253"/>
        <v>11.116731107066673</v>
      </c>
      <c r="O807" s="97">
        <f t="shared" si="253"/>
        <v>12.393137768021148</v>
      </c>
      <c r="P807" s="97">
        <f t="shared" si="253"/>
        <v>13.448382962687759</v>
      </c>
      <c r="Q807" s="97">
        <f t="shared" si="253"/>
        <v>14.270610835569768</v>
      </c>
      <c r="R807" s="97">
        <f t="shared" si="253"/>
        <v>14.825449181770553</v>
      </c>
      <c r="S807" s="97">
        <f t="shared" si="253"/>
        <v>15.111200582887141</v>
      </c>
      <c r="T807" s="97">
        <f t="shared" si="253"/>
        <v>15.111200582887141</v>
      </c>
      <c r="U807" s="97">
        <f t="shared" si="253"/>
        <v>14.825449181770553</v>
      </c>
      <c r="V807" s="97">
        <f t="shared" si="253"/>
        <v>14.270610835569768</v>
      </c>
      <c r="W807" s="97">
        <f t="shared" si="253"/>
        <v>13.448382962687759</v>
      </c>
      <c r="X807" s="97">
        <f t="shared" si="253"/>
        <v>12.393137768021148</v>
      </c>
      <c r="Y807" s="97">
        <f t="shared" si="253"/>
        <v>11.116731107066673</v>
      </c>
      <c r="Z807" s="97">
        <f t="shared" si="253"/>
        <v>9.6139983282890142</v>
      </c>
      <c r="AA807" s="97">
        <f t="shared" si="253"/>
        <v>7.9611844439265864</v>
      </c>
      <c r="AB807" s="97">
        <f t="shared" si="253"/>
        <v>6.1317152949641498</v>
      </c>
      <c r="AC807" s="97">
        <f t="shared" si="253"/>
        <v>4.2260621098740518</v>
      </c>
      <c r="AD807" s="97">
        <f t="shared" si="253"/>
        <v>2.29229921021739</v>
      </c>
      <c r="AE807" s="97">
        <f t="shared" si="253"/>
        <v>0.56719817372165038</v>
      </c>
      <c r="AF807" s="28"/>
      <c r="AG807" s="11"/>
    </row>
    <row r="808" spans="1:33">
      <c r="A808" t="s">
        <v>930</v>
      </c>
      <c r="B808" s="5"/>
      <c r="C808" s="11"/>
      <c r="D808" s="5" t="s">
        <v>90</v>
      </c>
      <c r="G808" s="97">
        <f>SUM(H808:AE808)/48</f>
        <v>3.26544079163738</v>
      </c>
      <c r="H808" s="97">
        <f>H807*$F$15</f>
        <v>0.39703872160515524</v>
      </c>
      <c r="I808" s="97">
        <f t="shared" ref="I808:AE808" si="254">I807*$F$15</f>
        <v>1.604609447152173</v>
      </c>
      <c r="J808" s="97">
        <f t="shared" si="254"/>
        <v>2.9582434769118362</v>
      </c>
      <c r="K808" s="97">
        <f>K807*$F$15</f>
        <v>4.2922007064749046</v>
      </c>
      <c r="L808" s="97">
        <f t="shared" si="254"/>
        <v>5.5728291107486099</v>
      </c>
      <c r="M808" s="97">
        <f t="shared" si="254"/>
        <v>6.7297988298023093</v>
      </c>
      <c r="N808" s="97">
        <f t="shared" si="254"/>
        <v>7.7817117749466709</v>
      </c>
      <c r="O808" s="97">
        <f t="shared" si="254"/>
        <v>8.6751964376148027</v>
      </c>
      <c r="P808" s="97">
        <f t="shared" si="254"/>
        <v>9.4138680738814315</v>
      </c>
      <c r="Q808" s="97">
        <f t="shared" si="254"/>
        <v>9.9894275848988361</v>
      </c>
      <c r="R808" s="97">
        <f t="shared" si="254"/>
        <v>10.377814427239386</v>
      </c>
      <c r="S808" s="97">
        <f t="shared" si="254"/>
        <v>10.577840408020998</v>
      </c>
      <c r="T808" s="97">
        <f t="shared" si="254"/>
        <v>10.577840408020998</v>
      </c>
      <c r="U808" s="97">
        <f t="shared" si="254"/>
        <v>10.377814427239386</v>
      </c>
      <c r="V808" s="97">
        <f t="shared" si="254"/>
        <v>9.9894275848988361</v>
      </c>
      <c r="W808" s="97">
        <f t="shared" si="254"/>
        <v>9.4138680738814315</v>
      </c>
      <c r="X808" s="97">
        <f t="shared" si="254"/>
        <v>8.6751964376148027</v>
      </c>
      <c r="Y808" s="97">
        <f t="shared" si="254"/>
        <v>7.7817117749466709</v>
      </c>
      <c r="Z808" s="97">
        <f t="shared" si="254"/>
        <v>6.7297988298023093</v>
      </c>
      <c r="AA808" s="97">
        <f t="shared" si="254"/>
        <v>5.5728291107486099</v>
      </c>
      <c r="AB808" s="97">
        <f t="shared" si="254"/>
        <v>4.2922007064749046</v>
      </c>
      <c r="AC808" s="97">
        <f t="shared" si="254"/>
        <v>2.9582434769118362</v>
      </c>
      <c r="AD808" s="97">
        <f t="shared" si="254"/>
        <v>1.604609447152173</v>
      </c>
      <c r="AE808" s="97">
        <f t="shared" si="254"/>
        <v>0.39703872160515524</v>
      </c>
      <c r="AF808" s="28"/>
      <c r="AG808" s="11"/>
    </row>
    <row r="809" spans="1:33">
      <c r="A809" s="20" t="s">
        <v>835</v>
      </c>
      <c r="B809" s="5"/>
      <c r="C809" s="11"/>
      <c r="G809" s="19">
        <f>SUM(H809:AE809)/48</f>
        <v>3.0996728201881782</v>
      </c>
      <c r="H809" s="24">
        <f>H808*(1-($F$16+$F$13)*$H$719)</f>
        <v>0.37688330992663926</v>
      </c>
      <c r="I809" s="24">
        <f t="shared" ref="I809:AE809" si="255">I808*(1-($F$16+$F$13)*$H$719)</f>
        <v>1.5231524953973494</v>
      </c>
      <c r="J809" s="24">
        <f t="shared" si="255"/>
        <v>2.8080701767324707</v>
      </c>
      <c r="K809" s="24">
        <f t="shared" si="255"/>
        <v>4.0743099377960457</v>
      </c>
      <c r="L809" s="24">
        <f t="shared" si="255"/>
        <v>5.289928076594923</v>
      </c>
      <c r="M809" s="24">
        <f t="shared" si="255"/>
        <v>6.3881649826553986</v>
      </c>
      <c r="N809" s="24">
        <f t="shared" si="255"/>
        <v>7.3866782533961404</v>
      </c>
      <c r="O809" s="24">
        <f t="shared" si="255"/>
        <v>8.2348057500636589</v>
      </c>
      <c r="P809" s="24">
        <f t="shared" si="255"/>
        <v>8.9359792026166023</v>
      </c>
      <c r="Q809" s="24">
        <f t="shared" si="255"/>
        <v>9.4823208105460104</v>
      </c>
      <c r="R809" s="24">
        <f t="shared" si="255"/>
        <v>9.8509914482145202</v>
      </c>
      <c r="S809" s="24">
        <f t="shared" si="255"/>
        <v>10.040863240576542</v>
      </c>
      <c r="T809" s="24">
        <f t="shared" si="255"/>
        <v>10.040863240576542</v>
      </c>
      <c r="U809" s="24">
        <f t="shared" si="255"/>
        <v>9.8509914482145202</v>
      </c>
      <c r="V809" s="24">
        <f t="shared" si="255"/>
        <v>9.4823208105460104</v>
      </c>
      <c r="W809" s="24">
        <f t="shared" si="255"/>
        <v>8.9359792026166023</v>
      </c>
      <c r="X809" s="24">
        <f t="shared" si="255"/>
        <v>8.2348057500636589</v>
      </c>
      <c r="Y809" s="24">
        <f t="shared" si="255"/>
        <v>7.3866782533961404</v>
      </c>
      <c r="Z809" s="24">
        <f t="shared" si="255"/>
        <v>6.3881649826553986</v>
      </c>
      <c r="AA809" s="24">
        <f t="shared" si="255"/>
        <v>5.289928076594923</v>
      </c>
      <c r="AB809" s="24">
        <f t="shared" si="255"/>
        <v>4.0743099377960457</v>
      </c>
      <c r="AC809" s="24">
        <f t="shared" si="255"/>
        <v>2.8080701767324707</v>
      </c>
      <c r="AD809" s="24">
        <f t="shared" si="255"/>
        <v>1.5231524953973494</v>
      </c>
      <c r="AE809" s="24">
        <f t="shared" si="255"/>
        <v>0.37688330992663926</v>
      </c>
      <c r="AF809" s="28"/>
      <c r="AG809" s="11"/>
    </row>
    <row r="810" spans="1:33">
      <c r="A810" s="20"/>
      <c r="B810" s="24" t="s">
        <v>91</v>
      </c>
      <c r="C810" s="11"/>
      <c r="D810" t="s">
        <v>42</v>
      </c>
      <c r="G810" s="27"/>
      <c r="H810" s="24" t="s">
        <v>900</v>
      </c>
      <c r="K810" t="s">
        <v>853</v>
      </c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8"/>
      <c r="AG810" s="11"/>
    </row>
    <row r="811" spans="1:33">
      <c r="A811" s="100" t="s">
        <v>836</v>
      </c>
      <c r="B811" s="5"/>
      <c r="C811" s="11"/>
      <c r="G811" s="19">
        <f>SUM(H811:AE811)/48</f>
        <v>0.1079872627124215</v>
      </c>
      <c r="H811" s="2">
        <f>H809^2/H805</f>
        <v>1.3129965438902092E-2</v>
      </c>
      <c r="I811" s="2">
        <f t="shared" ref="I811:AE811" si="256">I809^2/I805</f>
        <v>5.3064009723958035E-2</v>
      </c>
      <c r="J811" s="2">
        <f t="shared" si="256"/>
        <v>9.7828328820625629E-2</v>
      </c>
      <c r="K811" s="2">
        <f t="shared" si="256"/>
        <v>0.14194194134266749</v>
      </c>
      <c r="L811" s="2">
        <f t="shared" si="256"/>
        <v>0.18429198372697625</v>
      </c>
      <c r="M811" s="2">
        <f t="shared" si="256"/>
        <v>0.22255266611991012</v>
      </c>
      <c r="N811" s="2">
        <f t="shared" si="256"/>
        <v>0.25733914880512904</v>
      </c>
      <c r="O811" s="2">
        <f t="shared" si="256"/>
        <v>0.28688645012020897</v>
      </c>
      <c r="P811" s="2">
        <f t="shared" si="256"/>
        <v>0.31131412562668825</v>
      </c>
      <c r="Q811" s="2">
        <f t="shared" si="256"/>
        <v>0.33034772632220227</v>
      </c>
      <c r="R811" s="2">
        <f t="shared" si="256"/>
        <v>0.34319157640372427</v>
      </c>
      <c r="S811" s="2">
        <f t="shared" si="256"/>
        <v>0.3498063826471236</v>
      </c>
      <c r="T811" s="2">
        <f t="shared" si="256"/>
        <v>0.3498063826471236</v>
      </c>
      <c r="U811" s="2">
        <f t="shared" si="256"/>
        <v>0.34319157640372427</v>
      </c>
      <c r="V811" s="2">
        <f t="shared" si="256"/>
        <v>0.33034772632220227</v>
      </c>
      <c r="W811" s="2">
        <f t="shared" si="256"/>
        <v>0.31131412562668825</v>
      </c>
      <c r="X811" s="2">
        <f t="shared" si="256"/>
        <v>0.28688645012020897</v>
      </c>
      <c r="Y811" s="2">
        <f t="shared" si="256"/>
        <v>0.25733914880512904</v>
      </c>
      <c r="Z811" s="2">
        <f t="shared" si="256"/>
        <v>0.22255266611991012</v>
      </c>
      <c r="AA811" s="2">
        <f t="shared" si="256"/>
        <v>0.18429198372697625</v>
      </c>
      <c r="AB811" s="2">
        <f t="shared" si="256"/>
        <v>0.14194194134266749</v>
      </c>
      <c r="AC811" s="2">
        <f t="shared" si="256"/>
        <v>9.7828328820625629E-2</v>
      </c>
      <c r="AD811" s="2">
        <f t="shared" si="256"/>
        <v>5.3064009723958035E-2</v>
      </c>
      <c r="AE811" s="2">
        <f t="shared" si="256"/>
        <v>1.3129965438902092E-2</v>
      </c>
      <c r="AF811" s="28"/>
      <c r="AG811" s="11"/>
    </row>
    <row r="812" spans="1:33">
      <c r="A812" s="100"/>
      <c r="B812" s="24" t="s">
        <v>92</v>
      </c>
      <c r="C812" s="11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8"/>
      <c r="AG812" s="11"/>
    </row>
    <row r="813" spans="1:33">
      <c r="A813" s="20" t="s">
        <v>901</v>
      </c>
      <c r="B813" s="11"/>
      <c r="C813" s="11"/>
      <c r="D813" s="24"/>
      <c r="E813" s="27"/>
      <c r="F813" s="6"/>
      <c r="G813" s="19">
        <f>SUM(H813:AE813)/24</f>
        <v>264.77650940590888</v>
      </c>
      <c r="H813" s="2">
        <f>$M$9*($F$7+273)^4*(1-$H$719)</f>
        <v>264.77650940590894</v>
      </c>
      <c r="I813" s="2">
        <f t="shared" ref="I813:AE813" si="257">$M$9*($F$7+273)^4*(1-$H$719)</f>
        <v>264.77650940590894</v>
      </c>
      <c r="J813" s="2">
        <f t="shared" si="257"/>
        <v>264.77650940590894</v>
      </c>
      <c r="K813" s="2">
        <f t="shared" si="257"/>
        <v>264.77650940590894</v>
      </c>
      <c r="L813" s="2">
        <f t="shared" si="257"/>
        <v>264.77650940590894</v>
      </c>
      <c r="M813" s="2">
        <f t="shared" si="257"/>
        <v>264.77650940590894</v>
      </c>
      <c r="N813" s="2">
        <f t="shared" si="257"/>
        <v>264.77650940590894</v>
      </c>
      <c r="O813" s="2">
        <f t="shared" si="257"/>
        <v>264.77650940590894</v>
      </c>
      <c r="P813" s="2">
        <f t="shared" si="257"/>
        <v>264.77650940590894</v>
      </c>
      <c r="Q813" s="2">
        <f t="shared" si="257"/>
        <v>264.77650940590894</v>
      </c>
      <c r="R813" s="2">
        <f t="shared" si="257"/>
        <v>264.77650940590894</v>
      </c>
      <c r="S813" s="2">
        <f t="shared" si="257"/>
        <v>264.77650940590894</v>
      </c>
      <c r="T813" s="2">
        <f t="shared" si="257"/>
        <v>264.77650940590894</v>
      </c>
      <c r="U813" s="2">
        <f t="shared" si="257"/>
        <v>264.77650940590894</v>
      </c>
      <c r="V813" s="2">
        <f t="shared" si="257"/>
        <v>264.77650940590894</v>
      </c>
      <c r="W813" s="2">
        <f t="shared" si="257"/>
        <v>264.77650940590894</v>
      </c>
      <c r="X813" s="2">
        <f t="shared" si="257"/>
        <v>264.77650940590894</v>
      </c>
      <c r="Y813" s="2">
        <f t="shared" si="257"/>
        <v>264.77650940590894</v>
      </c>
      <c r="Z813" s="2">
        <f t="shared" si="257"/>
        <v>264.77650940590894</v>
      </c>
      <c r="AA813" s="2">
        <f t="shared" si="257"/>
        <v>264.77650940590894</v>
      </c>
      <c r="AB813" s="2">
        <f t="shared" si="257"/>
        <v>264.77650940590894</v>
      </c>
      <c r="AC813" s="2">
        <f t="shared" si="257"/>
        <v>264.77650940590894</v>
      </c>
      <c r="AD813" s="2">
        <f t="shared" si="257"/>
        <v>264.77650940590894</v>
      </c>
      <c r="AE813" s="2">
        <f t="shared" si="257"/>
        <v>264.77650940590894</v>
      </c>
      <c r="AF813" s="28"/>
      <c r="AG813" s="11"/>
    </row>
    <row r="814" spans="1:33">
      <c r="A814" s="14"/>
      <c r="B814" s="5" t="s">
        <v>50</v>
      </c>
      <c r="D814" t="s">
        <v>1056</v>
      </c>
      <c r="E814" s="12"/>
      <c r="F814" s="6"/>
      <c r="G814" s="2"/>
      <c r="H814" s="2" t="s">
        <v>51</v>
      </c>
      <c r="J814" s="10"/>
      <c r="K814" s="9"/>
      <c r="AF814" s="2"/>
    </row>
    <row r="815" spans="1:33">
      <c r="A815" s="20" t="s">
        <v>914</v>
      </c>
      <c r="B815" s="11"/>
      <c r="C815" s="11"/>
      <c r="D815" s="11"/>
      <c r="E815" s="27"/>
      <c r="F815" s="6"/>
      <c r="G815" s="19">
        <f>SUM(H815:AE815)/24</f>
        <v>12.551783676120003</v>
      </c>
      <c r="H815" s="24">
        <f t="shared" ref="H815:AE815" si="258">$M$9*($F$9+273)^4*$F$11*$H$18</f>
        <v>12.551783676119999</v>
      </c>
      <c r="I815" s="24">
        <f t="shared" si="258"/>
        <v>12.551783676119999</v>
      </c>
      <c r="J815" s="24">
        <f t="shared" si="258"/>
        <v>12.551783676119999</v>
      </c>
      <c r="K815" s="24">
        <f t="shared" si="258"/>
        <v>12.551783676119999</v>
      </c>
      <c r="L815" s="24">
        <f t="shared" si="258"/>
        <v>12.551783676119999</v>
      </c>
      <c r="M815" s="24">
        <f t="shared" si="258"/>
        <v>12.551783676119999</v>
      </c>
      <c r="N815" s="24">
        <f t="shared" si="258"/>
        <v>12.551783676119999</v>
      </c>
      <c r="O815" s="24">
        <f t="shared" si="258"/>
        <v>12.551783676119999</v>
      </c>
      <c r="P815" s="24">
        <f t="shared" si="258"/>
        <v>12.551783676119999</v>
      </c>
      <c r="Q815" s="24">
        <f t="shared" si="258"/>
        <v>12.551783676119999</v>
      </c>
      <c r="R815" s="24">
        <f t="shared" si="258"/>
        <v>12.551783676119999</v>
      </c>
      <c r="S815" s="24">
        <f t="shared" si="258"/>
        <v>12.551783676119999</v>
      </c>
      <c r="T815" s="24">
        <f t="shared" si="258"/>
        <v>12.551783676119999</v>
      </c>
      <c r="U815" s="24">
        <f t="shared" si="258"/>
        <v>12.551783676119999</v>
      </c>
      <c r="V815" s="24">
        <f t="shared" si="258"/>
        <v>12.551783676119999</v>
      </c>
      <c r="W815" s="24">
        <f t="shared" si="258"/>
        <v>12.551783676119999</v>
      </c>
      <c r="X815" s="24">
        <f t="shared" si="258"/>
        <v>12.551783676119999</v>
      </c>
      <c r="Y815" s="24">
        <f t="shared" si="258"/>
        <v>12.551783676119999</v>
      </c>
      <c r="Z815" s="24">
        <f t="shared" si="258"/>
        <v>12.551783676119999</v>
      </c>
      <c r="AA815" s="24">
        <f t="shared" si="258"/>
        <v>12.551783676119999</v>
      </c>
      <c r="AB815" s="24">
        <f t="shared" si="258"/>
        <v>12.551783676119999</v>
      </c>
      <c r="AC815" s="24">
        <f t="shared" si="258"/>
        <v>12.551783676119999</v>
      </c>
      <c r="AD815" s="24">
        <f t="shared" si="258"/>
        <v>12.551783676119999</v>
      </c>
      <c r="AE815" s="24">
        <f t="shared" si="258"/>
        <v>12.551783676119999</v>
      </c>
      <c r="AF815" s="28"/>
      <c r="AG815" s="11"/>
    </row>
    <row r="816" spans="1:33">
      <c r="A816" s="20"/>
      <c r="B816" s="5" t="s">
        <v>272</v>
      </c>
      <c r="C816" s="11"/>
      <c r="D816" t="s">
        <v>743</v>
      </c>
      <c r="E816" s="27"/>
      <c r="F816" s="6"/>
      <c r="G816" s="28"/>
      <c r="H816" t="s">
        <v>717</v>
      </c>
      <c r="I816" s="29"/>
      <c r="J816" s="11"/>
      <c r="K816" s="2" t="s">
        <v>273</v>
      </c>
      <c r="L816" s="11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11"/>
    </row>
    <row r="817" spans="1:33">
      <c r="A817" s="20"/>
      <c r="B817" s="27" t="s">
        <v>925</v>
      </c>
      <c r="C817" s="11" t="s">
        <v>266</v>
      </c>
      <c r="E817" s="27"/>
      <c r="F817" s="6"/>
      <c r="G817" s="28"/>
      <c r="I817" s="29"/>
      <c r="J817" s="11"/>
      <c r="K817" s="2"/>
      <c r="L817" s="11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11"/>
    </row>
    <row r="818" spans="1:33">
      <c r="A818" s="20"/>
      <c r="B818" s="14"/>
      <c r="C818" t="s">
        <v>274</v>
      </c>
      <c r="E818" s="27"/>
      <c r="F818" s="6"/>
      <c r="G818" s="28"/>
      <c r="I818" s="29"/>
      <c r="J818" s="11"/>
      <c r="K818" s="2"/>
      <c r="L818" s="11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11"/>
    </row>
    <row r="819" spans="1:33">
      <c r="A819" s="20"/>
      <c r="B819" s="16" t="s">
        <v>334</v>
      </c>
      <c r="C819" s="11"/>
      <c r="D819" s="11"/>
      <c r="E819" s="21"/>
      <c r="F819" s="21"/>
      <c r="G819" s="82">
        <f>G799+G805+G809+G811+G813+G815</f>
        <v>384.30946638777664</v>
      </c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8"/>
      <c r="AG819" s="11"/>
    </row>
    <row r="820" spans="1:33">
      <c r="A820" s="20"/>
      <c r="B820" s="16" t="s">
        <v>730</v>
      </c>
      <c r="C820" s="11"/>
      <c r="D820" s="11"/>
      <c r="E820" s="21"/>
      <c r="F820" s="21"/>
      <c r="G820" s="82">
        <f>G796-G819</f>
        <v>14.034526675456902</v>
      </c>
      <c r="H820" s="24"/>
      <c r="I820" s="32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8"/>
      <c r="AG820" s="11"/>
    </row>
    <row r="821" spans="1:33">
      <c r="G821" s="9"/>
      <c r="H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2"/>
    </row>
    <row r="822" spans="1:33">
      <c r="A822" s="3"/>
      <c r="G822" s="19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"/>
    </row>
    <row r="823" spans="1:33" ht="18.75">
      <c r="A823" s="85" t="s">
        <v>512</v>
      </c>
      <c r="B823" s="30" t="s">
        <v>609</v>
      </c>
      <c r="H823" s="4" t="s">
        <v>484</v>
      </c>
      <c r="I823" s="4" t="s">
        <v>486</v>
      </c>
      <c r="J823" s="4" t="s">
        <v>485</v>
      </c>
      <c r="K823" s="4" t="s">
        <v>487</v>
      </c>
      <c r="L823" s="4" t="s">
        <v>488</v>
      </c>
      <c r="M823" s="4" t="s">
        <v>489</v>
      </c>
      <c r="N823" s="4" t="s">
        <v>490</v>
      </c>
      <c r="O823" s="4" t="s">
        <v>491</v>
      </c>
      <c r="P823" s="4" t="s">
        <v>494</v>
      </c>
      <c r="Q823" s="4" t="s">
        <v>492</v>
      </c>
      <c r="R823" s="4" t="s">
        <v>495</v>
      </c>
      <c r="S823" s="4" t="s">
        <v>493</v>
      </c>
      <c r="T823" s="4" t="s">
        <v>515</v>
      </c>
      <c r="U823" s="4" t="s">
        <v>517</v>
      </c>
      <c r="V823" s="4" t="s">
        <v>518</v>
      </c>
      <c r="W823" s="4" t="s">
        <v>516</v>
      </c>
      <c r="X823" s="4" t="s">
        <v>519</v>
      </c>
      <c r="Y823" s="4" t="s">
        <v>520</v>
      </c>
      <c r="Z823" s="4" t="s">
        <v>521</v>
      </c>
      <c r="AA823" s="4" t="s">
        <v>522</v>
      </c>
      <c r="AB823" s="4" t="s">
        <v>523</v>
      </c>
      <c r="AC823" s="4" t="s">
        <v>524</v>
      </c>
      <c r="AD823" s="4" t="s">
        <v>525</v>
      </c>
      <c r="AE823" s="4" t="s">
        <v>526</v>
      </c>
      <c r="AF823" s="2"/>
    </row>
    <row r="824" spans="1:33">
      <c r="A824" s="3" t="s">
        <v>722</v>
      </c>
      <c r="G824" t="s">
        <v>535</v>
      </c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2"/>
    </row>
    <row r="825" spans="1:33">
      <c r="A825" t="s">
        <v>561</v>
      </c>
      <c r="B825" s="11"/>
      <c r="C825" s="11"/>
      <c r="D825" s="5" t="s">
        <v>93</v>
      </c>
      <c r="E825" s="12"/>
      <c r="F825" s="6"/>
      <c r="G825" s="2">
        <f>SUM(H825:AE825)/48</f>
        <v>112.65642671503603</v>
      </c>
      <c r="H825" s="2">
        <f>H$69</f>
        <v>22.187571014002408</v>
      </c>
      <c r="I825" s="2">
        <f t="shared" ref="I825:AE825" si="259">I$69</f>
        <v>68.44569674320401</v>
      </c>
      <c r="J825" s="2">
        <f t="shared" si="259"/>
        <v>113.19881966918334</v>
      </c>
      <c r="K825" s="2">
        <f t="shared" si="259"/>
        <v>156.17102515167278</v>
      </c>
      <c r="L825" s="2">
        <f t="shared" si="259"/>
        <v>196.39052874239931</v>
      </c>
      <c r="M825" s="2">
        <f t="shared" si="259"/>
        <v>233.14658123534468</v>
      </c>
      <c r="N825" s="2">
        <f t="shared" si="259"/>
        <v>265.98642726339813</v>
      </c>
      <c r="O825" s="2">
        <f t="shared" si="259"/>
        <v>294.24221445440293</v>
      </c>
      <c r="P825" s="2">
        <f t="shared" si="259"/>
        <v>317.49561422025221</v>
      </c>
      <c r="Q825" s="2">
        <f t="shared" si="259"/>
        <v>335.33519649632308</v>
      </c>
      <c r="R825" s="2">
        <f t="shared" si="259"/>
        <v>347.57939377373737</v>
      </c>
      <c r="S825" s="2">
        <f t="shared" si="259"/>
        <v>353.57517239694448</v>
      </c>
      <c r="T825" s="2">
        <f t="shared" si="259"/>
        <v>353.57517239694448</v>
      </c>
      <c r="U825" s="2">
        <f t="shared" si="259"/>
        <v>347.57939377373737</v>
      </c>
      <c r="V825" s="2">
        <f t="shared" si="259"/>
        <v>335.33519649632308</v>
      </c>
      <c r="W825" s="2">
        <f t="shared" si="259"/>
        <v>317.49561422025221</v>
      </c>
      <c r="X825" s="2">
        <f t="shared" si="259"/>
        <v>294.24221445440293</v>
      </c>
      <c r="Y825" s="2">
        <f t="shared" si="259"/>
        <v>265.98642726339813</v>
      </c>
      <c r="Z825" s="2">
        <f t="shared" si="259"/>
        <v>233.14658123534468</v>
      </c>
      <c r="AA825" s="2">
        <f t="shared" si="259"/>
        <v>196.39052874239931</v>
      </c>
      <c r="AB825" s="2">
        <f t="shared" si="259"/>
        <v>156.17102515167278</v>
      </c>
      <c r="AC825" s="2">
        <f t="shared" si="259"/>
        <v>113.19881966918334</v>
      </c>
      <c r="AD825" s="2">
        <f t="shared" si="259"/>
        <v>68.44569674320401</v>
      </c>
      <c r="AE825" s="2">
        <f t="shared" si="259"/>
        <v>22.187571014002408</v>
      </c>
      <c r="AF825" s="2"/>
    </row>
    <row r="826" spans="1:33">
      <c r="A826" s="20" t="s">
        <v>824</v>
      </c>
      <c r="B826" s="11"/>
      <c r="C826" s="11"/>
      <c r="D826" t="s">
        <v>94</v>
      </c>
      <c r="E826" s="12"/>
      <c r="F826" s="18"/>
      <c r="G826" s="19">
        <f>SUM(H826:AE826)/48</f>
        <v>78.859498700525236</v>
      </c>
      <c r="H826" s="2">
        <f>H$69*$U$20</f>
        <v>15.531299709801685</v>
      </c>
      <c r="I826" s="2">
        <f t="shared" ref="I826:AE826" si="260">I$69*$U$20</f>
        <v>47.911987720242806</v>
      </c>
      <c r="J826" s="2">
        <f t="shared" si="260"/>
        <v>79.23917376842833</v>
      </c>
      <c r="K826" s="2">
        <f t="shared" si="260"/>
        <v>109.31971760617094</v>
      </c>
      <c r="L826" s="2">
        <f t="shared" si="260"/>
        <v>137.47337011967952</v>
      </c>
      <c r="M826" s="2">
        <f t="shared" si="260"/>
        <v>163.20260686474126</v>
      </c>
      <c r="N826" s="2">
        <f t="shared" si="260"/>
        <v>186.19049908437867</v>
      </c>
      <c r="O826" s="2">
        <f t="shared" si="260"/>
        <v>205.96955011808203</v>
      </c>
      <c r="P826" s="2">
        <f t="shared" si="260"/>
        <v>222.24692995417652</v>
      </c>
      <c r="Q826" s="2">
        <f t="shared" si="260"/>
        <v>234.73463754742613</v>
      </c>
      <c r="R826" s="2">
        <f t="shared" si="260"/>
        <v>243.30557564161614</v>
      </c>
      <c r="S826" s="2">
        <f t="shared" si="260"/>
        <v>247.50262067786113</v>
      </c>
      <c r="T826" s="2">
        <f t="shared" si="260"/>
        <v>247.50262067786113</v>
      </c>
      <c r="U826" s="2">
        <f t="shared" si="260"/>
        <v>243.30557564161614</v>
      </c>
      <c r="V826" s="2">
        <f t="shared" si="260"/>
        <v>234.73463754742613</v>
      </c>
      <c r="W826" s="2">
        <f t="shared" si="260"/>
        <v>222.24692995417652</v>
      </c>
      <c r="X826" s="2">
        <f t="shared" si="260"/>
        <v>205.96955011808203</v>
      </c>
      <c r="Y826" s="2">
        <f t="shared" si="260"/>
        <v>186.19049908437867</v>
      </c>
      <c r="Z826" s="2">
        <f t="shared" si="260"/>
        <v>163.20260686474126</v>
      </c>
      <c r="AA826" s="2">
        <f t="shared" si="260"/>
        <v>137.47337011967952</v>
      </c>
      <c r="AB826" s="2">
        <f t="shared" si="260"/>
        <v>109.31971760617094</v>
      </c>
      <c r="AC826" s="2">
        <f t="shared" si="260"/>
        <v>79.23917376842833</v>
      </c>
      <c r="AD826" s="2">
        <f t="shared" si="260"/>
        <v>47.911987720242806</v>
      </c>
      <c r="AE826" s="2">
        <f t="shared" si="260"/>
        <v>15.531299709801685</v>
      </c>
      <c r="AF826" s="2"/>
    </row>
    <row r="827" spans="1:33">
      <c r="A827" s="20"/>
      <c r="B827" s="5" t="s">
        <v>96</v>
      </c>
      <c r="C827" s="11"/>
      <c r="D827" t="s">
        <v>95</v>
      </c>
      <c r="E827" s="12"/>
      <c r="F827" s="18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3">
      <c r="A828" s="20" t="s">
        <v>825</v>
      </c>
      <c r="D828" t="s">
        <v>97</v>
      </c>
      <c r="G828" s="19">
        <f>SUM(H828:AE828)/24</f>
        <v>294.0451576320001</v>
      </c>
      <c r="H828" s="2">
        <f>$U$24</f>
        <v>294.04515763199998</v>
      </c>
      <c r="I828" s="2">
        <f t="shared" ref="I828:AE828" si="261">$U$24</f>
        <v>294.04515763199998</v>
      </c>
      <c r="J828" s="2">
        <f t="shared" si="261"/>
        <v>294.04515763199998</v>
      </c>
      <c r="K828" s="2">
        <f t="shared" si="261"/>
        <v>294.04515763199998</v>
      </c>
      <c r="L828" s="2">
        <f t="shared" si="261"/>
        <v>294.04515763199998</v>
      </c>
      <c r="M828" s="2">
        <f t="shared" si="261"/>
        <v>294.04515763199998</v>
      </c>
      <c r="N828" s="2">
        <f t="shared" si="261"/>
        <v>294.04515763199998</v>
      </c>
      <c r="O828" s="2">
        <f t="shared" si="261"/>
        <v>294.04515763199998</v>
      </c>
      <c r="P828" s="2">
        <f t="shared" si="261"/>
        <v>294.04515763199998</v>
      </c>
      <c r="Q828" s="2">
        <f t="shared" si="261"/>
        <v>294.04515763199998</v>
      </c>
      <c r="R828" s="2">
        <f t="shared" si="261"/>
        <v>294.04515763199998</v>
      </c>
      <c r="S828" s="2">
        <f t="shared" si="261"/>
        <v>294.04515763199998</v>
      </c>
      <c r="T828" s="2">
        <f t="shared" si="261"/>
        <v>294.04515763199998</v>
      </c>
      <c r="U828" s="2">
        <f t="shared" si="261"/>
        <v>294.04515763199998</v>
      </c>
      <c r="V828" s="2">
        <f t="shared" si="261"/>
        <v>294.04515763199998</v>
      </c>
      <c r="W828" s="2">
        <f t="shared" si="261"/>
        <v>294.04515763199998</v>
      </c>
      <c r="X828" s="2">
        <f t="shared" si="261"/>
        <v>294.04515763199998</v>
      </c>
      <c r="Y828" s="2">
        <f t="shared" si="261"/>
        <v>294.04515763199998</v>
      </c>
      <c r="Z828" s="2">
        <f t="shared" si="261"/>
        <v>294.04515763199998</v>
      </c>
      <c r="AA828" s="2">
        <f t="shared" si="261"/>
        <v>294.04515763199998</v>
      </c>
      <c r="AB828" s="2">
        <f t="shared" si="261"/>
        <v>294.04515763199998</v>
      </c>
      <c r="AC828" s="2">
        <f t="shared" si="261"/>
        <v>294.04515763199998</v>
      </c>
      <c r="AD828" s="2">
        <f t="shared" si="261"/>
        <v>294.04515763199998</v>
      </c>
      <c r="AE828" s="2">
        <f t="shared" si="261"/>
        <v>294.04515763199998</v>
      </c>
      <c r="AF828" s="2"/>
    </row>
    <row r="829" spans="1:33">
      <c r="A829" s="20"/>
      <c r="B829" s="16" t="s">
        <v>720</v>
      </c>
      <c r="G829" s="32">
        <f>G826+G828</f>
        <v>372.90465633252535</v>
      </c>
      <c r="H829" s="3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3">
      <c r="A830" s="39" t="s">
        <v>512</v>
      </c>
      <c r="B830" s="16"/>
      <c r="F830" s="12"/>
      <c r="G830" s="32"/>
      <c r="H830" s="3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3">
      <c r="A831" s="3" t="s">
        <v>324</v>
      </c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3" s="27" customFormat="1">
      <c r="A832" s="27" t="s">
        <v>1031</v>
      </c>
      <c r="G832" s="55"/>
      <c r="H832" s="101">
        <f ca="1">Tabelle3!D$42</f>
        <v>0.95636797577920973</v>
      </c>
      <c r="I832" s="101">
        <f ca="1">Tabelle3!E$42</f>
        <v>0.6294004046955366</v>
      </c>
      <c r="J832" s="101">
        <f ca="1">Tabelle3!F$42</f>
        <v>0.45740549870246999</v>
      </c>
      <c r="K832" s="101">
        <f ca="1">Tabelle3!G$42</f>
        <v>0.36376697448010242</v>
      </c>
      <c r="L832" s="101">
        <f ca="1">Tabelle3!H$42</f>
        <v>0.30474091496472677</v>
      </c>
      <c r="M832" s="101">
        <f ca="1">Tabelle3!I$42</f>
        <v>0.25875174844242227</v>
      </c>
      <c r="N832" s="101">
        <f ca="1">Tabelle3!J$42</f>
        <v>0.23296298731098372</v>
      </c>
      <c r="O832" s="101">
        <f ca="1">Tabelle3!K$42</f>
        <v>0.21534403726610943</v>
      </c>
      <c r="P832" s="101">
        <f ca="1">Tabelle3!L$42</f>
        <v>0.20078292152654387</v>
      </c>
      <c r="Q832" s="101">
        <f ca="1">Tabelle3!M$42</f>
        <v>0.18957086240707841</v>
      </c>
      <c r="R832" s="101">
        <f ca="1">Tabelle3!N$42</f>
        <v>0.18342391779780173</v>
      </c>
      <c r="S832" s="101">
        <f ca="1">Tabelle3!O$42</f>
        <v>0.18127129230751557</v>
      </c>
      <c r="T832" s="101">
        <f ca="1">Tabelle3!P$42</f>
        <v>0.18127129230751557</v>
      </c>
      <c r="U832" s="101">
        <f ca="1">Tabelle3!Q$42</f>
        <v>0.18342391779780173</v>
      </c>
      <c r="V832" s="101">
        <f ca="1">Tabelle3!R$42</f>
        <v>0.18957086240707841</v>
      </c>
      <c r="W832" s="101">
        <f ca="1">Tabelle3!S$42</f>
        <v>0.20078292152654387</v>
      </c>
      <c r="X832" s="101">
        <f ca="1">Tabelle3!T$42</f>
        <v>0.21534403726610943</v>
      </c>
      <c r="Y832" s="101">
        <f ca="1">Tabelle3!U$42</f>
        <v>0.23296298731098372</v>
      </c>
      <c r="Z832" s="101">
        <f ca="1">Tabelle3!V$42</f>
        <v>0.25875174844242227</v>
      </c>
      <c r="AA832" s="101">
        <f ca="1">Tabelle3!W$42</f>
        <v>0.30474091496472677</v>
      </c>
      <c r="AB832" s="101">
        <f ca="1">Tabelle3!X$42</f>
        <v>0.36376697448010242</v>
      </c>
      <c r="AC832" s="101">
        <f ca="1">Tabelle3!Y$42</f>
        <v>0.45740549870246999</v>
      </c>
      <c r="AD832" s="101">
        <f ca="1">Tabelle3!Z$42</f>
        <v>0.6294004046955366</v>
      </c>
      <c r="AE832" s="101">
        <f ca="1">Tabelle3!AA$42</f>
        <v>0.95636797577920973</v>
      </c>
      <c r="AF832" s="55"/>
    </row>
    <row r="833" spans="1:33" s="27" customFormat="1">
      <c r="A833" s="27" t="s">
        <v>830</v>
      </c>
      <c r="F833" s="10">
        <f ca="1">Tabelle3!N$80</f>
        <v>1.9907587298357079</v>
      </c>
      <c r="H833" s="107">
        <f ca="1">$F$11*$F$142</f>
        <v>9.9537936491785398E-2</v>
      </c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55"/>
    </row>
    <row r="834" spans="1:33" ht="15" customHeight="1">
      <c r="A834" s="3" t="s">
        <v>831</v>
      </c>
      <c r="B834" s="11"/>
      <c r="C834" s="11"/>
      <c r="D834" s="11"/>
      <c r="E834" s="27"/>
      <c r="F834" s="6"/>
      <c r="G834" s="19">
        <f>SUM(H834:AE834)/48</f>
        <v>14.032403156124957</v>
      </c>
      <c r="H834" s="24">
        <f>H$69*H$832*$F$16</f>
        <v>10.609741189059475</v>
      </c>
      <c r="I834" s="24">
        <f t="shared" ref="I834:AE834" si="262">I$69*I$832*$F$16</f>
        <v>21.539874614920286</v>
      </c>
      <c r="J834" s="24">
        <f t="shared" si="262"/>
        <v>25.888881281656886</v>
      </c>
      <c r="K834" s="24">
        <f t="shared" si="262"/>
        <v>28.404930660439994</v>
      </c>
      <c r="L834" s="24">
        <f t="shared" si="262"/>
        <v>29.92411470968262</v>
      </c>
      <c r="M834" s="24">
        <f t="shared" si="262"/>
        <v>30.163542769009339</v>
      </c>
      <c r="N834" s="24">
        <f t="shared" si="262"/>
        <v>30.982496339728456</v>
      </c>
      <c r="O834" s="24">
        <f t="shared" si="262"/>
        <v>31.681653197365755</v>
      </c>
      <c r="P834" s="24">
        <f t="shared" si="262"/>
        <v>31.873848497503371</v>
      </c>
      <c r="Q834" s="24">
        <f t="shared" si="262"/>
        <v>31.78489119762753</v>
      </c>
      <c r="R834" s="24">
        <f t="shared" si="262"/>
        <v>31.877187075881881</v>
      </c>
      <c r="S834" s="24">
        <f t="shared" si="262"/>
        <v>32.04651421412337</v>
      </c>
      <c r="T834" s="24">
        <f t="shared" si="262"/>
        <v>32.04651421412337</v>
      </c>
      <c r="U834" s="24">
        <f t="shared" si="262"/>
        <v>31.877187075881881</v>
      </c>
      <c r="V834" s="24">
        <f t="shared" si="262"/>
        <v>31.78489119762753</v>
      </c>
      <c r="W834" s="24">
        <f t="shared" si="262"/>
        <v>31.873848497503371</v>
      </c>
      <c r="X834" s="24">
        <f t="shared" si="262"/>
        <v>31.681653197365755</v>
      </c>
      <c r="Y834" s="24">
        <f t="shared" si="262"/>
        <v>30.982496339728456</v>
      </c>
      <c r="Z834" s="24">
        <f t="shared" si="262"/>
        <v>30.163542769009339</v>
      </c>
      <c r="AA834" s="24">
        <f t="shared" si="262"/>
        <v>29.92411470968262</v>
      </c>
      <c r="AB834" s="24">
        <f t="shared" si="262"/>
        <v>28.404930660439994</v>
      </c>
      <c r="AC834" s="24">
        <f t="shared" si="262"/>
        <v>25.888881281656886</v>
      </c>
      <c r="AD834" s="24">
        <f t="shared" si="262"/>
        <v>21.539874614920286</v>
      </c>
      <c r="AE834" s="24">
        <f t="shared" si="262"/>
        <v>10.609741189059475</v>
      </c>
      <c r="AF834" s="28"/>
      <c r="AG834" s="11"/>
    </row>
    <row r="835" spans="1:33">
      <c r="A835" s="3"/>
      <c r="B835" s="5" t="s">
        <v>101</v>
      </c>
      <c r="C835" s="11"/>
      <c r="D835" t="s">
        <v>129</v>
      </c>
      <c r="F835" s="27"/>
      <c r="G835" t="s">
        <v>854</v>
      </c>
      <c r="I835" s="2"/>
      <c r="K835" s="2"/>
      <c r="M835" s="2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11"/>
    </row>
    <row r="836" spans="1:33">
      <c r="A836" s="3"/>
      <c r="C836" s="11"/>
      <c r="D836" s="2" t="s">
        <v>102</v>
      </c>
      <c r="F836" s="27"/>
      <c r="G836" s="2"/>
      <c r="I836" s="2"/>
      <c r="K836" s="2"/>
      <c r="M836" s="2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11"/>
    </row>
    <row r="837" spans="1:33">
      <c r="A837" t="s">
        <v>879</v>
      </c>
      <c r="C837" s="11"/>
      <c r="G837" s="98">
        <f>SUM(H837:AE837)/48</f>
        <v>98.343375495788578</v>
      </c>
      <c r="H837" s="97">
        <f>H$69*(1-($F$16+$F$13)*H$832)</f>
        <v>11.365635001161744</v>
      </c>
      <c r="I837" s="97">
        <f>I$69*(1-($F$16+$F$13)*I$832)</f>
        <v>46.475024635985321</v>
      </c>
      <c r="J837" s="97">
        <f t="shared" ref="J837:AE837" si="263">J$69*(1-($F$16+$F$13)*J$832)</f>
        <v>86.792160761893314</v>
      </c>
      <c r="K837" s="97">
        <f t="shared" si="263"/>
        <v>127.19799587802397</v>
      </c>
      <c r="L837" s="97">
        <f t="shared" si="263"/>
        <v>165.86793173852305</v>
      </c>
      <c r="M837" s="97">
        <f t="shared" si="263"/>
        <v>202.37976761095516</v>
      </c>
      <c r="N837" s="97">
        <f t="shared" si="263"/>
        <v>234.38428099687511</v>
      </c>
      <c r="O837" s="97">
        <f t="shared" si="263"/>
        <v>261.92692819308985</v>
      </c>
      <c r="P837" s="97">
        <f t="shared" si="263"/>
        <v>284.98428875279876</v>
      </c>
      <c r="Q837" s="97">
        <f t="shared" si="263"/>
        <v>302.91460747474304</v>
      </c>
      <c r="R837" s="97">
        <f t="shared" si="263"/>
        <v>315.06466295633783</v>
      </c>
      <c r="S837" s="97">
        <f t="shared" si="263"/>
        <v>320.88772789853869</v>
      </c>
      <c r="T837" s="97">
        <f t="shared" si="263"/>
        <v>320.88772789853869</v>
      </c>
      <c r="U837" s="97">
        <f t="shared" si="263"/>
        <v>315.06466295633783</v>
      </c>
      <c r="V837" s="97">
        <f t="shared" si="263"/>
        <v>302.91460747474304</v>
      </c>
      <c r="W837" s="97">
        <f t="shared" si="263"/>
        <v>284.98428875279876</v>
      </c>
      <c r="X837" s="97">
        <f t="shared" si="263"/>
        <v>261.92692819308985</v>
      </c>
      <c r="Y837" s="97">
        <f t="shared" si="263"/>
        <v>234.38428099687511</v>
      </c>
      <c r="Z837" s="97">
        <f t="shared" si="263"/>
        <v>202.37976761095516</v>
      </c>
      <c r="AA837" s="97">
        <f t="shared" si="263"/>
        <v>165.86793173852305</v>
      </c>
      <c r="AB837" s="97">
        <f t="shared" si="263"/>
        <v>127.19799587802397</v>
      </c>
      <c r="AC837" s="97">
        <f t="shared" si="263"/>
        <v>86.792160761893314</v>
      </c>
      <c r="AD837" s="97">
        <f t="shared" si="263"/>
        <v>46.475024635985321</v>
      </c>
      <c r="AE837" s="97">
        <f t="shared" si="263"/>
        <v>11.365635001161744</v>
      </c>
      <c r="AF837" s="28"/>
      <c r="AG837" s="11"/>
    </row>
    <row r="838" spans="1:33">
      <c r="B838" s="24" t="s">
        <v>103</v>
      </c>
      <c r="D838" s="2" t="s">
        <v>123</v>
      </c>
      <c r="E838" s="24" t="s">
        <v>900</v>
      </c>
      <c r="H838" t="s">
        <v>853</v>
      </c>
      <c r="AF838" s="28"/>
      <c r="AG838" s="11"/>
    </row>
    <row r="839" spans="1:33">
      <c r="A839" t="s">
        <v>832</v>
      </c>
      <c r="C839" s="11"/>
      <c r="D839" s="24"/>
      <c r="G839" s="97">
        <f>SUM(H839:AE839)/48</f>
        <v>68.840362847051992</v>
      </c>
      <c r="H839" s="97">
        <f>H837*$U$20</f>
        <v>7.9559445008132199</v>
      </c>
      <c r="I839" s="97">
        <f t="shared" ref="I839:AE839" si="264">I837*$U$20</f>
        <v>32.532517245189723</v>
      </c>
      <c r="J839" s="97">
        <f t="shared" si="264"/>
        <v>60.754512533325318</v>
      </c>
      <c r="K839" s="97">
        <f t="shared" si="264"/>
        <v>89.038597114616778</v>
      </c>
      <c r="L839" s="97">
        <f t="shared" si="264"/>
        <v>116.10755221696613</v>
      </c>
      <c r="M839" s="97">
        <f t="shared" si="264"/>
        <v>141.66583732766861</v>
      </c>
      <c r="N839" s="97">
        <f t="shared" si="264"/>
        <v>164.06899669781257</v>
      </c>
      <c r="O839" s="97">
        <f t="shared" si="264"/>
        <v>183.34884973516287</v>
      </c>
      <c r="P839" s="97">
        <f t="shared" si="264"/>
        <v>199.48900212695912</v>
      </c>
      <c r="Q839" s="97">
        <f t="shared" si="264"/>
        <v>212.04022523232013</v>
      </c>
      <c r="R839" s="97">
        <f t="shared" si="264"/>
        <v>220.54526406943646</v>
      </c>
      <c r="S839" s="97">
        <f t="shared" si="264"/>
        <v>224.62140952897707</v>
      </c>
      <c r="T839" s="97">
        <f t="shared" si="264"/>
        <v>224.62140952897707</v>
      </c>
      <c r="U839" s="97">
        <f t="shared" si="264"/>
        <v>220.54526406943646</v>
      </c>
      <c r="V839" s="97">
        <f t="shared" si="264"/>
        <v>212.04022523232013</v>
      </c>
      <c r="W839" s="97">
        <f t="shared" si="264"/>
        <v>199.48900212695912</v>
      </c>
      <c r="X839" s="97">
        <f t="shared" si="264"/>
        <v>183.34884973516287</v>
      </c>
      <c r="Y839" s="97">
        <f t="shared" si="264"/>
        <v>164.06899669781257</v>
      </c>
      <c r="Z839" s="97">
        <f t="shared" si="264"/>
        <v>141.66583732766861</v>
      </c>
      <c r="AA839" s="97">
        <f t="shared" si="264"/>
        <v>116.10755221696613</v>
      </c>
      <c r="AB839" s="97">
        <f t="shared" si="264"/>
        <v>89.038597114616778</v>
      </c>
      <c r="AC839" s="97">
        <f t="shared" si="264"/>
        <v>60.754512533325318</v>
      </c>
      <c r="AD839" s="97">
        <f t="shared" si="264"/>
        <v>32.532517245189723</v>
      </c>
      <c r="AE839" s="97">
        <f t="shared" si="264"/>
        <v>7.9559445008132199</v>
      </c>
      <c r="AF839" s="28"/>
      <c r="AG839" s="11"/>
    </row>
    <row r="840" spans="1:33">
      <c r="B840" s="24" t="s">
        <v>912</v>
      </c>
      <c r="C840" s="14" t="s">
        <v>106</v>
      </c>
      <c r="D840" s="24" t="s">
        <v>109</v>
      </c>
      <c r="AF840" s="28"/>
      <c r="AG840" s="11"/>
    </row>
    <row r="841" spans="1:33">
      <c r="A841" s="20" t="s">
        <v>833</v>
      </c>
      <c r="B841" s="11"/>
      <c r="C841" s="11"/>
      <c r="D841" s="11"/>
      <c r="E841" s="27"/>
      <c r="F841" s="6"/>
      <c r="G841" s="19">
        <f>SUM(H841:AE841)/48</f>
        <v>65.345726737829921</v>
      </c>
      <c r="H841" s="24">
        <f>H839*(1-($F$16+$F$13)*$H$833)</f>
        <v>7.5520661686016206</v>
      </c>
      <c r="I841" s="24">
        <f>I839*(1-($F$16+$F$13)*$H$833)</f>
        <v>30.881025231100221</v>
      </c>
      <c r="J841" s="24">
        <f t="shared" ref="J841:AE841" si="265">J839*(1-($F$16+$F$13)*$H$833)</f>
        <v>57.670349340158239</v>
      </c>
      <c r="K841" s="24">
        <f t="shared" si="265"/>
        <v>84.518610819911459</v>
      </c>
      <c r="L841" s="24">
        <f t="shared" si="265"/>
        <v>110.21342807598371</v>
      </c>
      <c r="M841" s="24">
        <f t="shared" si="265"/>
        <v>134.47426351699031</v>
      </c>
      <c r="N841" s="24">
        <f t="shared" si="265"/>
        <v>155.74014111728786</v>
      </c>
      <c r="O841" s="24">
        <f t="shared" si="265"/>
        <v>174.04126499316479</v>
      </c>
      <c r="P841" s="24">
        <f t="shared" si="265"/>
        <v>189.36207307845243</v>
      </c>
      <c r="Q841" s="24">
        <f t="shared" si="265"/>
        <v>201.27614153115206</v>
      </c>
      <c r="R841" s="24">
        <f t="shared" si="265"/>
        <v>209.34942762029758</v>
      </c>
      <c r="S841" s="24">
        <f t="shared" si="265"/>
        <v>213.21865021481784</v>
      </c>
      <c r="T841" s="24">
        <f t="shared" si="265"/>
        <v>213.21865021481784</v>
      </c>
      <c r="U841" s="24">
        <f t="shared" si="265"/>
        <v>209.34942762029758</v>
      </c>
      <c r="V841" s="24">
        <f t="shared" si="265"/>
        <v>201.27614153115206</v>
      </c>
      <c r="W841" s="24">
        <f t="shared" si="265"/>
        <v>189.36207307845243</v>
      </c>
      <c r="X841" s="24">
        <f t="shared" si="265"/>
        <v>174.04126499316479</v>
      </c>
      <c r="Y841" s="24">
        <f t="shared" si="265"/>
        <v>155.74014111728786</v>
      </c>
      <c r="Z841" s="24">
        <f t="shared" si="265"/>
        <v>134.47426351699031</v>
      </c>
      <c r="AA841" s="24">
        <f t="shared" si="265"/>
        <v>110.21342807598371</v>
      </c>
      <c r="AB841" s="24">
        <f t="shared" si="265"/>
        <v>84.518610819911459</v>
      </c>
      <c r="AC841" s="24">
        <f t="shared" si="265"/>
        <v>57.670349340158239</v>
      </c>
      <c r="AD841" s="24">
        <f t="shared" si="265"/>
        <v>30.881025231100221</v>
      </c>
      <c r="AE841" s="24">
        <f t="shared" si="265"/>
        <v>7.5520661686016206</v>
      </c>
      <c r="AF841" s="28"/>
      <c r="AG841" s="11"/>
    </row>
    <row r="842" spans="1:33">
      <c r="A842" s="20"/>
      <c r="B842" s="24" t="s">
        <v>130</v>
      </c>
      <c r="C842" s="11"/>
      <c r="D842" t="s">
        <v>110</v>
      </c>
      <c r="G842" s="27"/>
      <c r="H842" s="24" t="s">
        <v>900</v>
      </c>
      <c r="K842" t="s">
        <v>853</v>
      </c>
      <c r="M842" s="28"/>
      <c r="O842" s="28"/>
      <c r="P842" s="28"/>
      <c r="Q842" s="11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11"/>
    </row>
    <row r="843" spans="1:33">
      <c r="A843" t="s">
        <v>834</v>
      </c>
      <c r="B843" s="5"/>
      <c r="C843" s="11"/>
      <c r="D843" s="5" t="s">
        <v>122</v>
      </c>
      <c r="F843" t="s">
        <v>259</v>
      </c>
      <c r="G843" s="97">
        <f>SUM(H843:AE843)/48</f>
        <v>3.4261138325706622</v>
      </c>
      <c r="H843" s="97">
        <f>H839*$H$833*$F$16</f>
        <v>0.39595914922705777</v>
      </c>
      <c r="I843" s="97">
        <f t="shared" ref="I843:AE843" si="266">I839*$H$833*$F$16</f>
        <v>1.619109817734804</v>
      </c>
      <c r="J843" s="97">
        <f t="shared" si="266"/>
        <v>3.0236894050657579</v>
      </c>
      <c r="K843" s="97">
        <f t="shared" si="266"/>
        <v>4.431359112456196</v>
      </c>
      <c r="L843" s="97">
        <f t="shared" si="266"/>
        <v>5.7785530793945155</v>
      </c>
      <c r="M843" s="97">
        <f t="shared" si="266"/>
        <v>7.0505625594885402</v>
      </c>
      <c r="N843" s="97">
        <f t="shared" si="266"/>
        <v>8.1655446867889072</v>
      </c>
      <c r="O843" s="97">
        <f t="shared" si="266"/>
        <v>9.1250830803902723</v>
      </c>
      <c r="P843" s="97">
        <f t="shared" si="266"/>
        <v>9.9283618122614499</v>
      </c>
      <c r="Q843" s="97">
        <f t="shared" si="266"/>
        <v>10.553023236439277</v>
      </c>
      <c r="R843" s="97">
        <f t="shared" si="266"/>
        <v>10.976310244253803</v>
      </c>
      <c r="S843" s="97">
        <f t="shared" si="266"/>
        <v>11.179175798195319</v>
      </c>
      <c r="T843" s="97">
        <f t="shared" si="266"/>
        <v>11.179175798195319</v>
      </c>
      <c r="U843" s="97">
        <f t="shared" si="266"/>
        <v>10.976310244253803</v>
      </c>
      <c r="V843" s="97">
        <f t="shared" si="266"/>
        <v>10.553023236439277</v>
      </c>
      <c r="W843" s="97">
        <f t="shared" si="266"/>
        <v>9.9283618122614499</v>
      </c>
      <c r="X843" s="97">
        <f t="shared" si="266"/>
        <v>9.1250830803902723</v>
      </c>
      <c r="Y843" s="97">
        <f t="shared" si="266"/>
        <v>8.1655446867889072</v>
      </c>
      <c r="Z843" s="97">
        <f t="shared" si="266"/>
        <v>7.0505625594885402</v>
      </c>
      <c r="AA843" s="97">
        <f t="shared" si="266"/>
        <v>5.7785530793945155</v>
      </c>
      <c r="AB843" s="97">
        <f t="shared" si="266"/>
        <v>4.431359112456196</v>
      </c>
      <c r="AC843" s="97">
        <f t="shared" si="266"/>
        <v>3.0236894050657579</v>
      </c>
      <c r="AD843" s="97">
        <f t="shared" si="266"/>
        <v>1.619109817734804</v>
      </c>
      <c r="AE843" s="97">
        <f t="shared" si="266"/>
        <v>0.39595914922705777</v>
      </c>
      <c r="AF843" s="28"/>
      <c r="AG843" s="11"/>
    </row>
    <row r="844" spans="1:33">
      <c r="A844" t="s">
        <v>909</v>
      </c>
      <c r="B844" s="5"/>
      <c r="C844" s="11"/>
      <c r="D844" s="5" t="s">
        <v>131</v>
      </c>
      <c r="G844" s="97">
        <f>SUM(H844:AE844)/48</f>
        <v>2.3982796827994632</v>
      </c>
      <c r="H844" s="97">
        <f>H843*$U$20</f>
        <v>0.2771714044589404</v>
      </c>
      <c r="I844" s="97">
        <f t="shared" ref="I844:AE844" si="267">I843*$U$20</f>
        <v>1.1333768724143627</v>
      </c>
      <c r="J844" s="97">
        <f t="shared" si="267"/>
        <v>2.1165825835460303</v>
      </c>
      <c r="K844" s="97">
        <f t="shared" si="267"/>
        <v>3.1019513787193369</v>
      </c>
      <c r="L844" s="97">
        <f t="shared" si="267"/>
        <v>4.0449871555761607</v>
      </c>
      <c r="M844" s="97">
        <f t="shared" si="267"/>
        <v>4.9353937916419781</v>
      </c>
      <c r="N844" s="97">
        <f t="shared" si="267"/>
        <v>5.7158812807522343</v>
      </c>
      <c r="O844" s="97">
        <f t="shared" si="267"/>
        <v>6.3875581562731902</v>
      </c>
      <c r="P844" s="97">
        <f t="shared" si="267"/>
        <v>6.9498532685830146</v>
      </c>
      <c r="Q844" s="97">
        <f t="shared" si="267"/>
        <v>7.3871162655074931</v>
      </c>
      <c r="R844" s="97">
        <f t="shared" si="267"/>
        <v>7.6834171709776617</v>
      </c>
      <c r="S844" s="97">
        <f t="shared" si="267"/>
        <v>7.8254230587367228</v>
      </c>
      <c r="T844" s="97">
        <f t="shared" si="267"/>
        <v>7.8254230587367228</v>
      </c>
      <c r="U844" s="97">
        <f t="shared" si="267"/>
        <v>7.6834171709776617</v>
      </c>
      <c r="V844" s="97">
        <f t="shared" si="267"/>
        <v>7.3871162655074931</v>
      </c>
      <c r="W844" s="97">
        <f t="shared" si="267"/>
        <v>6.9498532685830146</v>
      </c>
      <c r="X844" s="97">
        <f t="shared" si="267"/>
        <v>6.3875581562731902</v>
      </c>
      <c r="Y844" s="97">
        <f t="shared" si="267"/>
        <v>5.7158812807522343</v>
      </c>
      <c r="Z844" s="97">
        <f t="shared" si="267"/>
        <v>4.9353937916419781</v>
      </c>
      <c r="AA844" s="97">
        <f t="shared" si="267"/>
        <v>4.0449871555761607</v>
      </c>
      <c r="AB844" s="97">
        <f t="shared" si="267"/>
        <v>3.1019513787193369</v>
      </c>
      <c r="AC844" s="97">
        <f t="shared" si="267"/>
        <v>2.1165825835460303</v>
      </c>
      <c r="AD844" s="97">
        <f t="shared" si="267"/>
        <v>1.1333768724143627</v>
      </c>
      <c r="AE844" s="97">
        <f t="shared" si="267"/>
        <v>0.2771714044589404</v>
      </c>
      <c r="AF844" s="28"/>
      <c r="AG844" s="11"/>
    </row>
    <row r="845" spans="1:33">
      <c r="A845" s="20" t="s">
        <v>835</v>
      </c>
      <c r="B845" s="5"/>
      <c r="C845" s="11"/>
      <c r="G845" s="19">
        <f>SUM(H845:AE845)/48</f>
        <v>2.2765325793138871</v>
      </c>
      <c r="H845" s="24">
        <f>H844*(1-($F$16+$F$13)*$H$833)</f>
        <v>0.26310097893521017</v>
      </c>
      <c r="I845" s="24">
        <f t="shared" ref="I845:AE845" si="268">I844*(1-($F$16+$F$13)*$H$833)</f>
        <v>1.0758417348890665</v>
      </c>
      <c r="J845" s="24">
        <f t="shared" si="268"/>
        <v>2.009135649527912</v>
      </c>
      <c r="K845" s="24">
        <f t="shared" si="268"/>
        <v>2.9444828406581953</v>
      </c>
      <c r="L845" s="24">
        <f t="shared" si="268"/>
        <v>3.8396460215292283</v>
      </c>
      <c r="M845" s="24">
        <f t="shared" si="268"/>
        <v>4.6848517456068279</v>
      </c>
      <c r="N845" s="24">
        <f t="shared" si="268"/>
        <v>5.4257182965140025</v>
      </c>
      <c r="O845" s="24">
        <f t="shared" si="268"/>
        <v>6.0632979336438693</v>
      </c>
      <c r="P845" s="24">
        <f t="shared" si="268"/>
        <v>6.5970485014125382</v>
      </c>
      <c r="Q845" s="24">
        <f t="shared" si="268"/>
        <v>7.0121141275637973</v>
      </c>
      <c r="R845" s="24">
        <f t="shared" si="268"/>
        <v>7.2933735108712803</v>
      </c>
      <c r="S845" s="24">
        <f t="shared" si="268"/>
        <v>7.428170562381359</v>
      </c>
      <c r="T845" s="24">
        <f t="shared" si="268"/>
        <v>7.428170562381359</v>
      </c>
      <c r="U845" s="24">
        <f t="shared" si="268"/>
        <v>7.2933735108712803</v>
      </c>
      <c r="V845" s="24">
        <f t="shared" si="268"/>
        <v>7.0121141275637973</v>
      </c>
      <c r="W845" s="24">
        <f t="shared" si="268"/>
        <v>6.5970485014125382</v>
      </c>
      <c r="X845" s="24">
        <f t="shared" si="268"/>
        <v>6.0632979336438693</v>
      </c>
      <c r="Y845" s="24">
        <f t="shared" si="268"/>
        <v>5.4257182965140025</v>
      </c>
      <c r="Z845" s="24">
        <f t="shared" si="268"/>
        <v>4.6848517456068279</v>
      </c>
      <c r="AA845" s="24">
        <f t="shared" si="268"/>
        <v>3.8396460215292283</v>
      </c>
      <c r="AB845" s="24">
        <f t="shared" si="268"/>
        <v>2.9444828406581953</v>
      </c>
      <c r="AC845" s="24">
        <f t="shared" si="268"/>
        <v>2.009135649527912</v>
      </c>
      <c r="AD845" s="24">
        <f t="shared" si="268"/>
        <v>1.0758417348890665</v>
      </c>
      <c r="AE845" s="24">
        <f t="shared" si="268"/>
        <v>0.26310097893521017</v>
      </c>
      <c r="AF845" s="28"/>
      <c r="AG845" s="11"/>
    </row>
    <row r="846" spans="1:33">
      <c r="A846" s="20"/>
      <c r="B846" s="24" t="s">
        <v>132</v>
      </c>
      <c r="C846" s="11"/>
      <c r="D846" t="s">
        <v>110</v>
      </c>
      <c r="G846" s="27"/>
      <c r="H846" s="24" t="s">
        <v>900</v>
      </c>
      <c r="K846" t="s">
        <v>853</v>
      </c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8"/>
      <c r="AG846" s="11"/>
    </row>
    <row r="847" spans="1:33">
      <c r="A847" s="100" t="s">
        <v>836</v>
      </c>
      <c r="B847" s="5"/>
      <c r="C847" s="11"/>
      <c r="G847" s="19">
        <f>SUM(H847:AE847)/48</f>
        <v>7.9310474355429122E-2</v>
      </c>
      <c r="H847" s="2">
        <f>H845^2/H841</f>
        <v>9.1659849862628304E-3</v>
      </c>
      <c r="I847" s="2">
        <f t="shared" ref="I847:AE847" si="269">I845^2/I841</f>
        <v>3.7480473198910041E-2</v>
      </c>
      <c r="J847" s="2">
        <f t="shared" si="269"/>
        <v>6.9994825840131961E-2</v>
      </c>
      <c r="K847" s="2">
        <f t="shared" si="269"/>
        <v>0.10258071109810556</v>
      </c>
      <c r="L847" s="2">
        <f t="shared" si="269"/>
        <v>0.13376665464466947</v>
      </c>
      <c r="M847" s="2">
        <f t="shared" si="269"/>
        <v>0.16321216643467482</v>
      </c>
      <c r="N847" s="2">
        <f t="shared" si="269"/>
        <v>0.18902268112725507</v>
      </c>
      <c r="O847" s="2">
        <f t="shared" si="269"/>
        <v>0.21123485762743593</v>
      </c>
      <c r="P847" s="2">
        <f t="shared" si="269"/>
        <v>0.22982980816839027</v>
      </c>
      <c r="Q847" s="2">
        <f t="shared" si="269"/>
        <v>0.24428997974590871</v>
      </c>
      <c r="R847" s="2">
        <f t="shared" si="269"/>
        <v>0.25408857226759135</v>
      </c>
      <c r="S847" s="2">
        <f t="shared" si="269"/>
        <v>0.2587846693909629</v>
      </c>
      <c r="T847" s="2">
        <f t="shared" si="269"/>
        <v>0.2587846693909629</v>
      </c>
      <c r="U847" s="2">
        <f t="shared" si="269"/>
        <v>0.25408857226759135</v>
      </c>
      <c r="V847" s="2">
        <f t="shared" si="269"/>
        <v>0.24428997974590871</v>
      </c>
      <c r="W847" s="2">
        <f t="shared" si="269"/>
        <v>0.22982980816839027</v>
      </c>
      <c r="X847" s="2">
        <f t="shared" si="269"/>
        <v>0.21123485762743593</v>
      </c>
      <c r="Y847" s="2">
        <f t="shared" si="269"/>
        <v>0.18902268112725507</v>
      </c>
      <c r="Z847" s="2">
        <f t="shared" si="269"/>
        <v>0.16321216643467482</v>
      </c>
      <c r="AA847" s="2">
        <f t="shared" si="269"/>
        <v>0.13376665464466947</v>
      </c>
      <c r="AB847" s="2">
        <f t="shared" si="269"/>
        <v>0.10258071109810556</v>
      </c>
      <c r="AC847" s="2">
        <f t="shared" si="269"/>
        <v>6.9994825840131961E-2</v>
      </c>
      <c r="AD847" s="2">
        <f t="shared" si="269"/>
        <v>3.7480473198910041E-2</v>
      </c>
      <c r="AE847" s="2">
        <f t="shared" si="269"/>
        <v>9.1659849862628304E-3</v>
      </c>
      <c r="AF847" s="28"/>
      <c r="AG847" s="11"/>
    </row>
    <row r="848" spans="1:33">
      <c r="A848" s="100"/>
      <c r="B848" s="24" t="s">
        <v>133</v>
      </c>
      <c r="C848" s="11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8"/>
      <c r="AG848" s="11"/>
    </row>
    <row r="849" spans="1:33">
      <c r="A849" s="20" t="s">
        <v>837</v>
      </c>
      <c r="B849" s="11"/>
      <c r="C849" s="11"/>
      <c r="D849" s="11"/>
      <c r="E849" s="27"/>
      <c r="F849" s="6"/>
      <c r="G849" s="19">
        <f>SUM(H849:AE849)/24</f>
        <v>265.36188237043092</v>
      </c>
      <c r="H849" s="24">
        <f>$U$24*(1-$H$833*(1-$F$14))</f>
        <v>265.36188237043075</v>
      </c>
      <c r="I849" s="24">
        <f t="shared" ref="I849:AE849" si="270">$U$24*(1-$H$833*(1-$F$14))</f>
        <v>265.36188237043075</v>
      </c>
      <c r="J849" s="24">
        <f t="shared" si="270"/>
        <v>265.36188237043075</v>
      </c>
      <c r="K849" s="24">
        <f t="shared" si="270"/>
        <v>265.36188237043075</v>
      </c>
      <c r="L849" s="24">
        <f t="shared" si="270"/>
        <v>265.36188237043075</v>
      </c>
      <c r="M849" s="24">
        <f t="shared" si="270"/>
        <v>265.36188237043075</v>
      </c>
      <c r="N849" s="24">
        <f t="shared" si="270"/>
        <v>265.36188237043075</v>
      </c>
      <c r="O849" s="24">
        <f t="shared" si="270"/>
        <v>265.36188237043075</v>
      </c>
      <c r="P849" s="24">
        <f t="shared" si="270"/>
        <v>265.36188237043075</v>
      </c>
      <c r="Q849" s="24">
        <f t="shared" si="270"/>
        <v>265.36188237043075</v>
      </c>
      <c r="R849" s="24">
        <f t="shared" si="270"/>
        <v>265.36188237043075</v>
      </c>
      <c r="S849" s="24">
        <f t="shared" si="270"/>
        <v>265.36188237043075</v>
      </c>
      <c r="T849" s="24">
        <f t="shared" si="270"/>
        <v>265.36188237043075</v>
      </c>
      <c r="U849" s="24">
        <f t="shared" si="270"/>
        <v>265.36188237043075</v>
      </c>
      <c r="V849" s="24">
        <f t="shared" si="270"/>
        <v>265.36188237043075</v>
      </c>
      <c r="W849" s="24">
        <f t="shared" si="270"/>
        <v>265.36188237043075</v>
      </c>
      <c r="X849" s="24">
        <f t="shared" si="270"/>
        <v>265.36188237043075</v>
      </c>
      <c r="Y849" s="24">
        <f t="shared" si="270"/>
        <v>265.36188237043075</v>
      </c>
      <c r="Z849" s="24">
        <f t="shared" si="270"/>
        <v>265.36188237043075</v>
      </c>
      <c r="AA849" s="24">
        <f t="shared" si="270"/>
        <v>265.36188237043075</v>
      </c>
      <c r="AB849" s="24">
        <f t="shared" si="270"/>
        <v>265.36188237043075</v>
      </c>
      <c r="AC849" s="24">
        <f t="shared" si="270"/>
        <v>265.36188237043075</v>
      </c>
      <c r="AD849" s="24">
        <f t="shared" si="270"/>
        <v>265.36188237043075</v>
      </c>
      <c r="AE849" s="24">
        <f t="shared" si="270"/>
        <v>265.36188237043075</v>
      </c>
      <c r="AF849" s="28"/>
      <c r="AG849" s="11"/>
    </row>
    <row r="850" spans="1:33">
      <c r="A850" s="20"/>
      <c r="B850" s="5" t="s">
        <v>111</v>
      </c>
      <c r="C850" s="11"/>
      <c r="D850" t="s">
        <v>264</v>
      </c>
      <c r="E850" s="2"/>
      <c r="G850" t="s">
        <v>112</v>
      </c>
      <c r="I850" s="11"/>
      <c r="J850" s="28"/>
      <c r="K850" s="2" t="s">
        <v>844</v>
      </c>
      <c r="L850" s="12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11"/>
    </row>
    <row r="851" spans="1:33">
      <c r="A851" s="12" t="s">
        <v>573</v>
      </c>
      <c r="B851" t="s">
        <v>839</v>
      </c>
      <c r="E851" s="12"/>
      <c r="F851" s="6"/>
      <c r="G851" s="32"/>
      <c r="H851" s="3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3">
      <c r="A852" s="11"/>
      <c r="B852" s="14" t="s">
        <v>870</v>
      </c>
      <c r="E852" s="12"/>
      <c r="F852" s="6"/>
      <c r="G852" s="32"/>
      <c r="H852" s="3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3">
      <c r="A853" s="11"/>
      <c r="B853" s="14" t="s">
        <v>845</v>
      </c>
      <c r="E853" s="12"/>
      <c r="F853" s="6"/>
      <c r="G853" s="32"/>
      <c r="H853" s="3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3">
      <c r="A854" s="11"/>
      <c r="B854" s="14" t="s">
        <v>842</v>
      </c>
      <c r="E854" s="12"/>
      <c r="F854" s="6"/>
      <c r="G854" s="32"/>
      <c r="H854" s="3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3">
      <c r="A855" s="20" t="s">
        <v>914</v>
      </c>
      <c r="B855" s="11"/>
      <c r="C855" s="11"/>
      <c r="D855" s="11"/>
      <c r="E855" s="27"/>
      <c r="F855" s="6"/>
      <c r="G855" s="19">
        <f>SUM(H855:AE855)/24</f>
        <v>12.551783676120003</v>
      </c>
      <c r="H855" s="24">
        <f t="shared" ref="H855:AE855" si="271">$M$9*($F$9+273)^4*$F$11*$H$18</f>
        <v>12.551783676119999</v>
      </c>
      <c r="I855" s="24">
        <f t="shared" si="271"/>
        <v>12.551783676119999</v>
      </c>
      <c r="J855" s="24">
        <f t="shared" si="271"/>
        <v>12.551783676119999</v>
      </c>
      <c r="K855" s="24">
        <f t="shared" si="271"/>
        <v>12.551783676119999</v>
      </c>
      <c r="L855" s="24">
        <f t="shared" si="271"/>
        <v>12.551783676119999</v>
      </c>
      <c r="M855" s="24">
        <f t="shared" si="271"/>
        <v>12.551783676119999</v>
      </c>
      <c r="N855" s="24">
        <f t="shared" si="271"/>
        <v>12.551783676119999</v>
      </c>
      <c r="O855" s="24">
        <f t="shared" si="271"/>
        <v>12.551783676119999</v>
      </c>
      <c r="P855" s="24">
        <f t="shared" si="271"/>
        <v>12.551783676119999</v>
      </c>
      <c r="Q855" s="24">
        <f t="shared" si="271"/>
        <v>12.551783676119999</v>
      </c>
      <c r="R855" s="24">
        <f t="shared" si="271"/>
        <v>12.551783676119999</v>
      </c>
      <c r="S855" s="24">
        <f t="shared" si="271"/>
        <v>12.551783676119999</v>
      </c>
      <c r="T855" s="24">
        <f t="shared" si="271"/>
        <v>12.551783676119999</v>
      </c>
      <c r="U855" s="24">
        <f t="shared" si="271"/>
        <v>12.551783676119999</v>
      </c>
      <c r="V855" s="24">
        <f t="shared" si="271"/>
        <v>12.551783676119999</v>
      </c>
      <c r="W855" s="24">
        <f t="shared" si="271"/>
        <v>12.551783676119999</v>
      </c>
      <c r="X855" s="24">
        <f t="shared" si="271"/>
        <v>12.551783676119999</v>
      </c>
      <c r="Y855" s="24">
        <f t="shared" si="271"/>
        <v>12.551783676119999</v>
      </c>
      <c r="Z855" s="24">
        <f t="shared" si="271"/>
        <v>12.551783676119999</v>
      </c>
      <c r="AA855" s="24">
        <f t="shared" si="271"/>
        <v>12.551783676119999</v>
      </c>
      <c r="AB855" s="24">
        <f t="shared" si="271"/>
        <v>12.551783676119999</v>
      </c>
      <c r="AC855" s="24">
        <f t="shared" si="271"/>
        <v>12.551783676119999</v>
      </c>
      <c r="AD855" s="24">
        <f t="shared" si="271"/>
        <v>12.551783676119999</v>
      </c>
      <c r="AE855" s="24">
        <f t="shared" si="271"/>
        <v>12.551783676119999</v>
      </c>
      <c r="AF855" s="28"/>
      <c r="AG855" s="11"/>
    </row>
    <row r="856" spans="1:33">
      <c r="A856" s="20"/>
      <c r="B856" s="5" t="s">
        <v>272</v>
      </c>
      <c r="C856" s="11"/>
      <c r="D856" t="s">
        <v>743</v>
      </c>
      <c r="E856" s="27"/>
      <c r="F856" s="6"/>
      <c r="G856" s="28"/>
      <c r="H856" t="s">
        <v>717</v>
      </c>
      <c r="I856" s="29"/>
      <c r="J856" s="11"/>
      <c r="K856" s="2" t="s">
        <v>273</v>
      </c>
      <c r="L856" s="11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11"/>
    </row>
    <row r="857" spans="1:33">
      <c r="A857" s="20"/>
      <c r="B857" s="27" t="s">
        <v>925</v>
      </c>
      <c r="C857" s="11" t="s">
        <v>266</v>
      </c>
      <c r="E857" s="27"/>
      <c r="F857" s="6"/>
      <c r="G857" s="28"/>
      <c r="I857" s="29"/>
      <c r="J857" s="11"/>
      <c r="K857" s="2"/>
      <c r="L857" s="11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11"/>
    </row>
    <row r="858" spans="1:33">
      <c r="A858" s="20"/>
      <c r="B858" s="14"/>
      <c r="C858" t="s">
        <v>274</v>
      </c>
      <c r="E858" s="27"/>
      <c r="F858" s="6"/>
      <c r="G858" s="28"/>
      <c r="I858" s="29"/>
      <c r="J858" s="11"/>
      <c r="K858" s="2"/>
      <c r="L858" s="11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11"/>
    </row>
    <row r="859" spans="1:33">
      <c r="A859" s="20"/>
      <c r="B859" s="16" t="s">
        <v>332</v>
      </c>
      <c r="C859" s="11"/>
      <c r="D859" s="11"/>
      <c r="E859" s="27"/>
      <c r="F859" s="6"/>
      <c r="G859" s="32">
        <f>G834+G841+G845+G847+G849+G855</f>
        <v>359.64763899417511</v>
      </c>
      <c r="H859" s="33"/>
      <c r="I859" s="29"/>
      <c r="J859" s="28"/>
      <c r="K859" s="11"/>
      <c r="L859" s="11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11"/>
    </row>
    <row r="860" spans="1:33">
      <c r="A860" s="20"/>
      <c r="B860" s="16" t="s">
        <v>721</v>
      </c>
      <c r="G860" s="32">
        <f>G829-G859</f>
        <v>13.257017338350238</v>
      </c>
      <c r="H860" s="33"/>
      <c r="I860" s="8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3">
      <c r="A861" s="39" t="s">
        <v>512</v>
      </c>
      <c r="B861" s="16"/>
      <c r="G861" s="32"/>
      <c r="H861" s="3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3">
      <c r="A862" s="3" t="s">
        <v>771</v>
      </c>
      <c r="G862" t="s">
        <v>535</v>
      </c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3">
      <c r="A863" s="20" t="s">
        <v>873</v>
      </c>
      <c r="B863" s="11"/>
      <c r="C863" s="11"/>
      <c r="D863" s="11"/>
      <c r="E863" s="14" t="s">
        <v>563</v>
      </c>
      <c r="F863" s="31">
        <f>$F$15</f>
        <v>0.7</v>
      </c>
      <c r="G863" s="19">
        <f>SUM(H863:AE863)/48</f>
        <v>53.925324038105025</v>
      </c>
      <c r="H863" s="2">
        <f>H$69*H$27*$F$15</f>
        <v>0</v>
      </c>
      <c r="I863" s="2">
        <f t="shared" ref="I863:AE863" si="272">I$69*I$27*$F$15</f>
        <v>0</v>
      </c>
      <c r="J863" s="2">
        <f t="shared" si="272"/>
        <v>0</v>
      </c>
      <c r="K863" s="2">
        <f t="shared" si="272"/>
        <v>0</v>
      </c>
      <c r="L863" s="2">
        <f t="shared" si="272"/>
        <v>0</v>
      </c>
      <c r="M863" s="2">
        <f t="shared" si="272"/>
        <v>0</v>
      </c>
      <c r="N863" s="2">
        <f t="shared" si="272"/>
        <v>0</v>
      </c>
      <c r="O863" s="2">
        <f t="shared" si="272"/>
        <v>0</v>
      </c>
      <c r="P863" s="2">
        <f t="shared" si="272"/>
        <v>222.24692995417652</v>
      </c>
      <c r="Q863" s="2">
        <f t="shared" si="272"/>
        <v>234.73463754742613</v>
      </c>
      <c r="R863" s="2">
        <f t="shared" si="272"/>
        <v>243.30557564161614</v>
      </c>
      <c r="S863" s="2">
        <f t="shared" si="272"/>
        <v>247.50262067786113</v>
      </c>
      <c r="T863" s="2">
        <f t="shared" si="272"/>
        <v>247.50262067786113</v>
      </c>
      <c r="U863" s="2">
        <f t="shared" si="272"/>
        <v>243.30557564161614</v>
      </c>
      <c r="V863" s="2">
        <f t="shared" si="272"/>
        <v>234.73463754742613</v>
      </c>
      <c r="W863" s="2">
        <f t="shared" si="272"/>
        <v>222.24692995417652</v>
      </c>
      <c r="X863" s="2">
        <f t="shared" si="272"/>
        <v>205.96955011808203</v>
      </c>
      <c r="Y863" s="2">
        <f t="shared" si="272"/>
        <v>186.19049908437867</v>
      </c>
      <c r="Z863" s="2">
        <f t="shared" si="272"/>
        <v>163.20260686474126</v>
      </c>
      <c r="AA863" s="2">
        <f t="shared" si="272"/>
        <v>137.47337011967952</v>
      </c>
      <c r="AB863" s="2">
        <f t="shared" si="272"/>
        <v>0</v>
      </c>
      <c r="AC863" s="2">
        <f t="shared" si="272"/>
        <v>0</v>
      </c>
      <c r="AD863" s="2">
        <f t="shared" si="272"/>
        <v>0</v>
      </c>
      <c r="AE863" s="2">
        <f t="shared" si="272"/>
        <v>0</v>
      </c>
      <c r="AF863" s="2"/>
    </row>
    <row r="864" spans="1:33">
      <c r="A864" s="5"/>
      <c r="B864" s="5" t="s">
        <v>98</v>
      </c>
      <c r="C864" s="11"/>
      <c r="D864" t="s">
        <v>124</v>
      </c>
      <c r="E864" s="12"/>
      <c r="F864" s="18"/>
      <c r="G864" s="19"/>
      <c r="H864" s="2" t="s">
        <v>860</v>
      </c>
      <c r="I864" s="2"/>
      <c r="J864" s="2" t="s">
        <v>861</v>
      </c>
      <c r="K864" s="26"/>
      <c r="L864" s="2"/>
      <c r="M864" s="2"/>
      <c r="N864" s="2"/>
      <c r="O864" s="26"/>
      <c r="P864" s="2"/>
      <c r="Q864" s="2"/>
      <c r="R864" s="26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3">
      <c r="A865" s="20" t="s">
        <v>874</v>
      </c>
      <c r="G865" s="19">
        <f>SUM(H865:AE865)/48</f>
        <v>25.068987972515458</v>
      </c>
      <c r="H865" s="2">
        <f>H$69*$U$20*H$28^2</f>
        <v>15.531299709801685</v>
      </c>
      <c r="I865" s="2">
        <f t="shared" ref="I865:AE865" si="273">I$69*$U$20*I$28^2</f>
        <v>47.911987720242806</v>
      </c>
      <c r="J865" s="2">
        <f t="shared" si="273"/>
        <v>79.23917376842833</v>
      </c>
      <c r="K865" s="2">
        <f t="shared" si="273"/>
        <v>109.31971760617094</v>
      </c>
      <c r="L865" s="2">
        <f t="shared" si="273"/>
        <v>137.47337011967952</v>
      </c>
      <c r="M865" s="2">
        <f t="shared" si="273"/>
        <v>163.20260686474126</v>
      </c>
      <c r="N865" s="2">
        <f t="shared" si="273"/>
        <v>186.19049908437867</v>
      </c>
      <c r="O865" s="2">
        <f t="shared" si="273"/>
        <v>205.96955011808203</v>
      </c>
      <c r="P865" s="2">
        <f t="shared" si="273"/>
        <v>0.55561732488544224</v>
      </c>
      <c r="Q865" s="2">
        <f t="shared" si="273"/>
        <v>0.58683659386856635</v>
      </c>
      <c r="R865" s="2">
        <f t="shared" si="273"/>
        <v>0.60826393910404142</v>
      </c>
      <c r="S865" s="2">
        <f t="shared" si="273"/>
        <v>0.61875655169465393</v>
      </c>
      <c r="T865" s="2">
        <f t="shared" si="273"/>
        <v>0.61875655169465393</v>
      </c>
      <c r="U865" s="2">
        <f t="shared" si="273"/>
        <v>0.60826393910404142</v>
      </c>
      <c r="V865" s="2">
        <f t="shared" si="273"/>
        <v>0.58683659386856635</v>
      </c>
      <c r="W865" s="2">
        <f t="shared" si="273"/>
        <v>0.55561732488544224</v>
      </c>
      <c r="X865" s="2">
        <f t="shared" si="273"/>
        <v>0.514923875295206</v>
      </c>
      <c r="Y865" s="2">
        <f t="shared" si="273"/>
        <v>0.46547624771094748</v>
      </c>
      <c r="Z865" s="2">
        <f t="shared" si="273"/>
        <v>0.40800651716185388</v>
      </c>
      <c r="AA865" s="2">
        <f t="shared" si="273"/>
        <v>0.34368342529919937</v>
      </c>
      <c r="AB865" s="2">
        <f t="shared" si="273"/>
        <v>109.31971760617094</v>
      </c>
      <c r="AC865" s="2">
        <f t="shared" si="273"/>
        <v>79.23917376842833</v>
      </c>
      <c r="AD865" s="2">
        <f t="shared" si="273"/>
        <v>47.911987720242806</v>
      </c>
      <c r="AE865" s="2">
        <f t="shared" si="273"/>
        <v>15.531299709801685</v>
      </c>
      <c r="AF865" s="2"/>
    </row>
    <row r="866" spans="1:33">
      <c r="A866" s="16"/>
      <c r="B866" s="5" t="s">
        <v>107</v>
      </c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3">
      <c r="A867" s="20" t="s">
        <v>875</v>
      </c>
      <c r="E867" s="12"/>
      <c r="F867" s="6"/>
      <c r="G867" s="19">
        <f>(SUM(H867:AE867)+24*$U$24)/48</f>
        <v>220.533868224</v>
      </c>
      <c r="H867" s="2">
        <f>$U$24*(1-H$27)</f>
        <v>294.04515763199998</v>
      </c>
      <c r="I867" s="2">
        <f>$U$24*(1-I$27)</f>
        <v>294.04515763199998</v>
      </c>
      <c r="J867" s="2">
        <f t="shared" ref="J867:AE867" si="274">$U$24*(1-J$27)</f>
        <v>294.04515763199998</v>
      </c>
      <c r="K867" s="2">
        <f t="shared" si="274"/>
        <v>294.04515763199998</v>
      </c>
      <c r="L867" s="2">
        <f t="shared" si="274"/>
        <v>294.04515763199998</v>
      </c>
      <c r="M867" s="2">
        <f t="shared" si="274"/>
        <v>294.04515763199998</v>
      </c>
      <c r="N867" s="2">
        <f t="shared" si="274"/>
        <v>294.04515763199998</v>
      </c>
      <c r="O867" s="2">
        <f t="shared" si="274"/>
        <v>294.04515763199998</v>
      </c>
      <c r="P867" s="2">
        <f t="shared" si="274"/>
        <v>0</v>
      </c>
      <c r="Q867" s="2">
        <f t="shared" si="274"/>
        <v>0</v>
      </c>
      <c r="R867" s="2">
        <f t="shared" si="274"/>
        <v>0</v>
      </c>
      <c r="S867" s="2">
        <f t="shared" si="274"/>
        <v>0</v>
      </c>
      <c r="T867" s="2">
        <f t="shared" si="274"/>
        <v>0</v>
      </c>
      <c r="U867" s="2">
        <f t="shared" si="274"/>
        <v>0</v>
      </c>
      <c r="V867" s="2">
        <f t="shared" si="274"/>
        <v>0</v>
      </c>
      <c r="W867" s="2">
        <f t="shared" si="274"/>
        <v>0</v>
      </c>
      <c r="X867" s="2">
        <f t="shared" si="274"/>
        <v>0</v>
      </c>
      <c r="Y867" s="2">
        <f t="shared" si="274"/>
        <v>0</v>
      </c>
      <c r="Z867" s="2">
        <f t="shared" si="274"/>
        <v>0</v>
      </c>
      <c r="AA867" s="2">
        <f t="shared" si="274"/>
        <v>0</v>
      </c>
      <c r="AB867" s="2">
        <f t="shared" si="274"/>
        <v>294.04515763199998</v>
      </c>
      <c r="AC867" s="2">
        <f t="shared" si="274"/>
        <v>294.04515763199998</v>
      </c>
      <c r="AD867" s="2">
        <f t="shared" si="274"/>
        <v>294.04515763199998</v>
      </c>
      <c r="AE867" s="2">
        <f t="shared" si="274"/>
        <v>294.04515763199998</v>
      </c>
      <c r="AF867" s="2"/>
    </row>
    <row r="868" spans="1:33">
      <c r="A868" s="20"/>
      <c r="C868" s="5" t="s">
        <v>108</v>
      </c>
      <c r="D868" t="s">
        <v>128</v>
      </c>
      <c r="E868" s="12"/>
      <c r="F868" s="6"/>
      <c r="G868" s="19"/>
      <c r="H868" s="2" t="s">
        <v>860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3">
      <c r="A869" s="20" t="s">
        <v>876</v>
      </c>
      <c r="E869" s="12">
        <f>$F$7</f>
        <v>-5</v>
      </c>
      <c r="F869" s="6" t="s">
        <v>558</v>
      </c>
      <c r="G869" s="19">
        <f>SUM(H869:AE869)/48</f>
        <v>73.51128940800001</v>
      </c>
      <c r="H869" s="2">
        <f t="shared" ref="H869:AE869" si="275">$M$9*($F$7+273)^4*H$27</f>
        <v>0</v>
      </c>
      <c r="I869" s="2">
        <f t="shared" si="275"/>
        <v>0</v>
      </c>
      <c r="J869" s="2">
        <f t="shared" si="275"/>
        <v>0</v>
      </c>
      <c r="K869" s="2">
        <f t="shared" si="275"/>
        <v>0</v>
      </c>
      <c r="L869" s="2">
        <f t="shared" si="275"/>
        <v>0</v>
      </c>
      <c r="M869" s="2">
        <f t="shared" si="275"/>
        <v>0</v>
      </c>
      <c r="N869" s="2">
        <f t="shared" si="275"/>
        <v>0</v>
      </c>
      <c r="O869" s="2">
        <f t="shared" si="275"/>
        <v>0</v>
      </c>
      <c r="P869" s="2">
        <f t="shared" si="275"/>
        <v>294.04515763199998</v>
      </c>
      <c r="Q869" s="2">
        <f t="shared" si="275"/>
        <v>294.04515763199998</v>
      </c>
      <c r="R869" s="2">
        <f t="shared" si="275"/>
        <v>294.04515763199998</v>
      </c>
      <c r="S869" s="2">
        <f t="shared" si="275"/>
        <v>294.04515763199998</v>
      </c>
      <c r="T869" s="2">
        <f t="shared" si="275"/>
        <v>294.04515763199998</v>
      </c>
      <c r="U869" s="2">
        <f t="shared" si="275"/>
        <v>294.04515763199998</v>
      </c>
      <c r="V869" s="2">
        <f t="shared" si="275"/>
        <v>294.04515763199998</v>
      </c>
      <c r="W869" s="2">
        <f t="shared" si="275"/>
        <v>294.04515763199998</v>
      </c>
      <c r="X869" s="2">
        <f t="shared" si="275"/>
        <v>294.04515763199998</v>
      </c>
      <c r="Y869" s="2">
        <f t="shared" si="275"/>
        <v>294.04515763199998</v>
      </c>
      <c r="Z869" s="2">
        <f t="shared" si="275"/>
        <v>294.04515763199998</v>
      </c>
      <c r="AA869" s="2">
        <f t="shared" si="275"/>
        <v>294.04515763199998</v>
      </c>
      <c r="AB869" s="2">
        <f t="shared" si="275"/>
        <v>0</v>
      </c>
      <c r="AC869" s="2">
        <f t="shared" si="275"/>
        <v>0</v>
      </c>
      <c r="AD869" s="2">
        <f t="shared" si="275"/>
        <v>0</v>
      </c>
      <c r="AE869" s="2">
        <f t="shared" si="275"/>
        <v>0</v>
      </c>
      <c r="AF869" s="2"/>
    </row>
    <row r="870" spans="1:33">
      <c r="A870" s="20"/>
      <c r="B870" t="s">
        <v>865</v>
      </c>
      <c r="D870" t="s">
        <v>743</v>
      </c>
      <c r="E870" s="30"/>
      <c r="F870" s="6"/>
      <c r="G870" s="19"/>
      <c r="H870" t="s">
        <v>617</v>
      </c>
      <c r="I870" s="2"/>
      <c r="K870" s="2" t="s">
        <v>860</v>
      </c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3">
      <c r="A871" s="20"/>
      <c r="B871" s="16" t="s">
        <v>724</v>
      </c>
      <c r="E871" s="30"/>
      <c r="F871" s="6"/>
      <c r="G871" s="32">
        <f>G863+G865+G867+G869</f>
        <v>373.03946964262047</v>
      </c>
      <c r="H871" s="3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3">
      <c r="A872" s="39" t="s">
        <v>512</v>
      </c>
      <c r="B872" s="16"/>
      <c r="E872" s="30"/>
      <c r="G872" s="32"/>
      <c r="H872" s="33"/>
      <c r="I872" s="3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3">
      <c r="A873" s="3" t="s">
        <v>330</v>
      </c>
      <c r="E873" s="12"/>
      <c r="F873" s="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3">
      <c r="A874" s="3" t="s">
        <v>877</v>
      </c>
      <c r="G874" s="19">
        <f>SUM(H874:AE874)/48</f>
        <v>14.032403156124957</v>
      </c>
      <c r="H874" s="24">
        <f>H$69*H$832*$F$16</f>
        <v>10.609741189059475</v>
      </c>
      <c r="I874" s="24">
        <f t="shared" ref="I874:AE874" si="276">I$69*I$832*$F$16</f>
        <v>21.539874614920286</v>
      </c>
      <c r="J874" s="24">
        <f t="shared" si="276"/>
        <v>25.888881281656886</v>
      </c>
      <c r="K874" s="24">
        <f t="shared" si="276"/>
        <v>28.404930660439994</v>
      </c>
      <c r="L874" s="24">
        <f t="shared" si="276"/>
        <v>29.92411470968262</v>
      </c>
      <c r="M874" s="24">
        <f t="shared" si="276"/>
        <v>30.163542769009339</v>
      </c>
      <c r="N874" s="24">
        <f t="shared" si="276"/>
        <v>30.982496339728456</v>
      </c>
      <c r="O874" s="24">
        <f t="shared" si="276"/>
        <v>31.681653197365755</v>
      </c>
      <c r="P874" s="24">
        <f t="shared" si="276"/>
        <v>31.873848497503371</v>
      </c>
      <c r="Q874" s="24">
        <f t="shared" si="276"/>
        <v>31.78489119762753</v>
      </c>
      <c r="R874" s="24">
        <f t="shared" si="276"/>
        <v>31.877187075881881</v>
      </c>
      <c r="S874" s="24">
        <f t="shared" si="276"/>
        <v>32.04651421412337</v>
      </c>
      <c r="T874" s="24">
        <f t="shared" si="276"/>
        <v>32.04651421412337</v>
      </c>
      <c r="U874" s="24">
        <f t="shared" si="276"/>
        <v>31.877187075881881</v>
      </c>
      <c r="V874" s="24">
        <f t="shared" si="276"/>
        <v>31.78489119762753</v>
      </c>
      <c r="W874" s="24">
        <f t="shared" si="276"/>
        <v>31.873848497503371</v>
      </c>
      <c r="X874" s="24">
        <f t="shared" si="276"/>
        <v>31.681653197365755</v>
      </c>
      <c r="Y874" s="24">
        <f t="shared" si="276"/>
        <v>30.982496339728456</v>
      </c>
      <c r="Z874" s="24">
        <f t="shared" si="276"/>
        <v>30.163542769009339</v>
      </c>
      <c r="AA874" s="24">
        <f t="shared" si="276"/>
        <v>29.92411470968262</v>
      </c>
      <c r="AB874" s="24">
        <f t="shared" si="276"/>
        <v>28.404930660439994</v>
      </c>
      <c r="AC874" s="24">
        <f t="shared" si="276"/>
        <v>25.888881281656886</v>
      </c>
      <c r="AD874" s="24">
        <f t="shared" si="276"/>
        <v>21.539874614920286</v>
      </c>
      <c r="AE874" s="24">
        <f t="shared" si="276"/>
        <v>10.609741189059475</v>
      </c>
      <c r="AF874" s="2"/>
    </row>
    <row r="875" spans="1:33">
      <c r="B875" s="5" t="s">
        <v>101</v>
      </c>
      <c r="D875" t="s">
        <v>127</v>
      </c>
      <c r="H875" t="s">
        <v>866</v>
      </c>
      <c r="J875" s="2"/>
      <c r="K875" s="2"/>
      <c r="L875" t="s">
        <v>104</v>
      </c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3">
      <c r="A876" t="s">
        <v>879</v>
      </c>
      <c r="C876" s="11"/>
      <c r="G876" s="98">
        <f>SUM(H876:AE876)/48</f>
        <v>98.343375495788578</v>
      </c>
      <c r="H876" s="97">
        <f>H$69*(1-($F$16+$F$13)*H$832)</f>
        <v>11.365635001161744</v>
      </c>
      <c r="I876" s="97">
        <f t="shared" ref="I876:AE876" si="277">I$69*(1-($F$16+$F$13)*I$832)</f>
        <v>46.475024635985321</v>
      </c>
      <c r="J876" s="97">
        <f t="shared" si="277"/>
        <v>86.792160761893314</v>
      </c>
      <c r="K876" s="97">
        <f t="shared" si="277"/>
        <v>127.19799587802397</v>
      </c>
      <c r="L876" s="97">
        <f t="shared" si="277"/>
        <v>165.86793173852305</v>
      </c>
      <c r="M876" s="97">
        <f t="shared" si="277"/>
        <v>202.37976761095516</v>
      </c>
      <c r="N876" s="97">
        <f t="shared" si="277"/>
        <v>234.38428099687511</v>
      </c>
      <c r="O876" s="97">
        <f t="shared" si="277"/>
        <v>261.92692819308985</v>
      </c>
      <c r="P876" s="97">
        <f t="shared" si="277"/>
        <v>284.98428875279876</v>
      </c>
      <c r="Q876" s="97">
        <f t="shared" si="277"/>
        <v>302.91460747474304</v>
      </c>
      <c r="R876" s="97">
        <f t="shared" si="277"/>
        <v>315.06466295633783</v>
      </c>
      <c r="S876" s="97">
        <f t="shared" si="277"/>
        <v>320.88772789853869</v>
      </c>
      <c r="T876" s="97">
        <f t="shared" si="277"/>
        <v>320.88772789853869</v>
      </c>
      <c r="U876" s="97">
        <f t="shared" si="277"/>
        <v>315.06466295633783</v>
      </c>
      <c r="V876" s="97">
        <f t="shared" si="277"/>
        <v>302.91460747474304</v>
      </c>
      <c r="W876" s="97">
        <f t="shared" si="277"/>
        <v>284.98428875279876</v>
      </c>
      <c r="X876" s="97">
        <f t="shared" si="277"/>
        <v>261.92692819308985</v>
      </c>
      <c r="Y876" s="97">
        <f t="shared" si="277"/>
        <v>234.38428099687511</v>
      </c>
      <c r="Z876" s="97">
        <f t="shared" si="277"/>
        <v>202.37976761095516</v>
      </c>
      <c r="AA876" s="97">
        <f t="shared" si="277"/>
        <v>165.86793173852305</v>
      </c>
      <c r="AB876" s="97">
        <f t="shared" si="277"/>
        <v>127.19799587802397</v>
      </c>
      <c r="AC876" s="97">
        <f t="shared" si="277"/>
        <v>86.792160761893314</v>
      </c>
      <c r="AD876" s="97">
        <f t="shared" si="277"/>
        <v>46.475024635985321</v>
      </c>
      <c r="AE876" s="97">
        <f t="shared" si="277"/>
        <v>11.365635001161744</v>
      </c>
      <c r="AF876" s="28"/>
      <c r="AG876" s="11"/>
    </row>
    <row r="877" spans="1:33">
      <c r="B877" s="24" t="s">
        <v>103</v>
      </c>
      <c r="D877" s="2" t="s">
        <v>123</v>
      </c>
      <c r="E877" s="106" t="s">
        <v>970</v>
      </c>
      <c r="G877" t="s">
        <v>853</v>
      </c>
      <c r="I877" t="s">
        <v>104</v>
      </c>
      <c r="AF877" s="28"/>
      <c r="AG877" s="11"/>
    </row>
    <row r="878" spans="1:33">
      <c r="A878" t="s">
        <v>878</v>
      </c>
      <c r="C878" s="11"/>
      <c r="D878" s="24"/>
      <c r="G878" s="97">
        <f>SUM(H878:AE878)/48</f>
        <v>68.840362847051992</v>
      </c>
      <c r="H878" s="97">
        <f>H876*($U$20*(1-H$27)+$F$15*H$27)</f>
        <v>7.9559445008132199</v>
      </c>
      <c r="I878" s="97">
        <f t="shared" ref="I878:AE878" si="278">I876*($U$20*(1-I$27)+$F$15*I$27)</f>
        <v>32.532517245189723</v>
      </c>
      <c r="J878" s="97">
        <f t="shared" si="278"/>
        <v>60.754512533325318</v>
      </c>
      <c r="K878" s="97">
        <f t="shared" si="278"/>
        <v>89.038597114616778</v>
      </c>
      <c r="L878" s="97">
        <f t="shared" si="278"/>
        <v>116.10755221696613</v>
      </c>
      <c r="M878" s="97">
        <f t="shared" si="278"/>
        <v>141.66583732766861</v>
      </c>
      <c r="N878" s="97">
        <f t="shared" si="278"/>
        <v>164.06899669781257</v>
      </c>
      <c r="O878" s="97">
        <f t="shared" si="278"/>
        <v>183.34884973516287</v>
      </c>
      <c r="P878" s="97">
        <f t="shared" si="278"/>
        <v>199.48900212695912</v>
      </c>
      <c r="Q878" s="97">
        <f t="shared" si="278"/>
        <v>212.04022523232013</v>
      </c>
      <c r="R878" s="97">
        <f t="shared" si="278"/>
        <v>220.54526406943646</v>
      </c>
      <c r="S878" s="97">
        <f t="shared" si="278"/>
        <v>224.62140952897707</v>
      </c>
      <c r="T878" s="97">
        <f t="shared" si="278"/>
        <v>224.62140952897707</v>
      </c>
      <c r="U878" s="97">
        <f t="shared" si="278"/>
        <v>220.54526406943646</v>
      </c>
      <c r="V878" s="97">
        <f t="shared" si="278"/>
        <v>212.04022523232013</v>
      </c>
      <c r="W878" s="97">
        <f t="shared" si="278"/>
        <v>199.48900212695912</v>
      </c>
      <c r="X878" s="97">
        <f t="shared" si="278"/>
        <v>183.34884973516287</v>
      </c>
      <c r="Y878" s="97">
        <f t="shared" si="278"/>
        <v>164.06899669781257</v>
      </c>
      <c r="Z878" s="97">
        <f t="shared" si="278"/>
        <v>141.66583732766861</v>
      </c>
      <c r="AA878" s="97">
        <f t="shared" si="278"/>
        <v>116.10755221696613</v>
      </c>
      <c r="AB878" s="97">
        <f t="shared" si="278"/>
        <v>89.038597114616778</v>
      </c>
      <c r="AC878" s="97">
        <f t="shared" si="278"/>
        <v>60.754512533325318</v>
      </c>
      <c r="AD878" s="97">
        <f t="shared" si="278"/>
        <v>32.532517245189723</v>
      </c>
      <c r="AE878" s="97">
        <f t="shared" si="278"/>
        <v>7.9559445008132199</v>
      </c>
      <c r="AF878" s="28"/>
      <c r="AG878" s="11"/>
    </row>
    <row r="879" spans="1:33">
      <c r="B879" s="24" t="s">
        <v>917</v>
      </c>
      <c r="D879" s="14" t="s">
        <v>106</v>
      </c>
      <c r="G879" t="s">
        <v>888</v>
      </c>
      <c r="I879" s="24" t="s">
        <v>260</v>
      </c>
      <c r="M879" s="2" t="s">
        <v>860</v>
      </c>
      <c r="AF879" s="28"/>
      <c r="AG879" s="11"/>
    </row>
    <row r="880" spans="1:33" ht="18">
      <c r="A880" s="20" t="s">
        <v>881</v>
      </c>
      <c r="G880" s="19">
        <f>SUM(H880:AE880)/48</f>
        <v>46.004522221223453</v>
      </c>
      <c r="H880" s="2">
        <f>H$69*H$27*$F$15*(1-H$832*$F$16)*(1-$H$833*$F$16)</f>
        <v>0</v>
      </c>
      <c r="I880" s="2">
        <f>I$69*I$27*$F$15*(1-I$832*$F$16)*(1-$H$833*$F$16)</f>
        <v>0</v>
      </c>
      <c r="J880" s="2">
        <f t="shared" ref="J880:AE880" si="279">J$69*J$27*$F$15*(1-J$832*$F$16)*(1-$H$833*$F$16)</f>
        <v>0</v>
      </c>
      <c r="K880" s="2">
        <f t="shared" si="279"/>
        <v>0</v>
      </c>
      <c r="L880" s="2">
        <f t="shared" si="279"/>
        <v>0</v>
      </c>
      <c r="M880" s="2">
        <f t="shared" si="279"/>
        <v>0</v>
      </c>
      <c r="N880" s="2">
        <f t="shared" si="279"/>
        <v>0</v>
      </c>
      <c r="O880" s="2">
        <f t="shared" si="279"/>
        <v>0</v>
      </c>
      <c r="P880" s="2">
        <f t="shared" si="279"/>
        <v>189.98466559391025</v>
      </c>
      <c r="Q880" s="2">
        <f t="shared" si="279"/>
        <v>201.91004385527756</v>
      </c>
      <c r="R880" s="2">
        <f t="shared" si="279"/>
        <v>209.99302351828615</v>
      </c>
      <c r="S880" s="2">
        <f t="shared" si="279"/>
        <v>213.86855602250304</v>
      </c>
      <c r="T880" s="2">
        <f t="shared" si="279"/>
        <v>213.86855602250304</v>
      </c>
      <c r="U880" s="2">
        <f t="shared" si="279"/>
        <v>209.99302351828615</v>
      </c>
      <c r="V880" s="2">
        <f t="shared" si="279"/>
        <v>201.91004385527756</v>
      </c>
      <c r="W880" s="2">
        <f t="shared" si="279"/>
        <v>189.98466559391025</v>
      </c>
      <c r="X880" s="2">
        <f t="shared" si="279"/>
        <v>174.6452351148483</v>
      </c>
      <c r="Y880" s="2">
        <f t="shared" si="279"/>
        <v>156.31561942350871</v>
      </c>
      <c r="Z880" s="2">
        <f t="shared" si="279"/>
        <v>135.01654744931463</v>
      </c>
      <c r="AA880" s="2">
        <f t="shared" si="279"/>
        <v>110.72708665110035</v>
      </c>
      <c r="AB880" s="2">
        <f t="shared" si="279"/>
        <v>0</v>
      </c>
      <c r="AC880" s="2">
        <f t="shared" si="279"/>
        <v>0</v>
      </c>
      <c r="AD880" s="2">
        <f t="shared" si="279"/>
        <v>0</v>
      </c>
      <c r="AE880" s="2">
        <f t="shared" si="279"/>
        <v>0</v>
      </c>
      <c r="AF880" s="2"/>
    </row>
    <row r="881" spans="1:33">
      <c r="B881" s="5" t="s">
        <v>98</v>
      </c>
      <c r="C881" s="11"/>
      <c r="D881" t="s">
        <v>99</v>
      </c>
      <c r="E881" s="12"/>
      <c r="F881" s="18"/>
      <c r="G881" s="2" t="s">
        <v>860</v>
      </c>
      <c r="I881" s="2" t="s">
        <v>867</v>
      </c>
      <c r="K881" s="9"/>
      <c r="AF881" s="2"/>
    </row>
    <row r="882" spans="1:33">
      <c r="A882" s="11" t="s">
        <v>568</v>
      </c>
      <c r="B882" t="s">
        <v>883</v>
      </c>
      <c r="C882" s="11"/>
      <c r="E882" s="12"/>
      <c r="F882" s="18"/>
      <c r="G882" s="2" t="s">
        <v>113</v>
      </c>
      <c r="H882" s="2"/>
      <c r="J882" t="s">
        <v>868</v>
      </c>
      <c r="AF882" s="2"/>
    </row>
    <row r="883" spans="1:33">
      <c r="A883" s="11"/>
      <c r="B883" t="s">
        <v>114</v>
      </c>
      <c r="C883" s="11"/>
      <c r="E883" s="12"/>
      <c r="F883" s="18"/>
      <c r="G883" s="19"/>
      <c r="I883" s="12" t="s">
        <v>858</v>
      </c>
      <c r="K883" s="11"/>
      <c r="AF883" s="2"/>
    </row>
    <row r="884" spans="1:33">
      <c r="A884" s="11"/>
      <c r="B884" s="2" t="s">
        <v>115</v>
      </c>
      <c r="C884" s="11"/>
      <c r="E884" s="12"/>
      <c r="F884" s="18"/>
      <c r="G884" s="19"/>
      <c r="H884" s="2"/>
      <c r="K884" s="11"/>
      <c r="L884" s="12"/>
      <c r="AF884" s="2"/>
    </row>
    <row r="885" spans="1:33" ht="18">
      <c r="A885" s="20" t="s">
        <v>882</v>
      </c>
      <c r="G885" s="19">
        <f>SUM(H885:AE885)/48</f>
        <v>19.711414447817415</v>
      </c>
      <c r="H885" s="2">
        <f>H$69*$U$20*H$28^2*(1-H$832*$F$16)*(1-$H$833*$F$16)</f>
        <v>7.7011292260202993</v>
      </c>
      <c r="I885" s="2">
        <f t="shared" ref="I885:AE885" si="280">I$69*$U$20*I$28^2*(1-I$832*$F$16)*(1-$H$833*$F$16)</f>
        <v>31.199957429363575</v>
      </c>
      <c r="J885" s="2">
        <f t="shared" si="280"/>
        <v>58.075228985456746</v>
      </c>
      <c r="K885" s="2">
        <f t="shared" si="280"/>
        <v>84.985115454117832</v>
      </c>
      <c r="L885" s="2">
        <f t="shared" si="280"/>
        <v>110.72708665110035</v>
      </c>
      <c r="M885" s="2">
        <f t="shared" si="280"/>
        <v>135.01654744931463</v>
      </c>
      <c r="N885" s="2">
        <f t="shared" si="280"/>
        <v>156.31561942350871</v>
      </c>
      <c r="O885" s="2">
        <f t="shared" si="280"/>
        <v>174.6452351148483</v>
      </c>
      <c r="P885" s="2">
        <f t="shared" si="280"/>
        <v>0.47496166398477646</v>
      </c>
      <c r="Q885" s="2">
        <f t="shared" si="280"/>
        <v>0.50477510963819483</v>
      </c>
      <c r="R885" s="2">
        <f t="shared" si="280"/>
        <v>0.52498255879571631</v>
      </c>
      <c r="S885" s="2">
        <f t="shared" si="280"/>
        <v>0.53467139005625863</v>
      </c>
      <c r="T885" s="2">
        <f t="shared" si="280"/>
        <v>0.53467139005625863</v>
      </c>
      <c r="U885" s="2">
        <f t="shared" si="280"/>
        <v>0.52498255879571631</v>
      </c>
      <c r="V885" s="2">
        <f t="shared" si="280"/>
        <v>0.50477510963819483</v>
      </c>
      <c r="W885" s="2">
        <f t="shared" si="280"/>
        <v>0.47496166398477646</v>
      </c>
      <c r="X885" s="2">
        <f t="shared" si="280"/>
        <v>0.4366130877871216</v>
      </c>
      <c r="Y885" s="2">
        <f t="shared" si="280"/>
        <v>0.39078904855877239</v>
      </c>
      <c r="Z885" s="2">
        <f t="shared" si="280"/>
        <v>0.33754136862328715</v>
      </c>
      <c r="AA885" s="2">
        <f t="shared" si="280"/>
        <v>0.27681771662775134</v>
      </c>
      <c r="AB885" s="2">
        <f t="shared" si="280"/>
        <v>84.985115454117832</v>
      </c>
      <c r="AC885" s="2">
        <f t="shared" si="280"/>
        <v>58.075228985456746</v>
      </c>
      <c r="AD885" s="2">
        <f t="shared" si="280"/>
        <v>31.199957429363575</v>
      </c>
      <c r="AE885" s="2">
        <f t="shared" si="280"/>
        <v>7.7011292260202993</v>
      </c>
      <c r="AF885" s="2"/>
    </row>
    <row r="886" spans="1:33">
      <c r="A886" s="14"/>
      <c r="B886" s="5" t="s">
        <v>107</v>
      </c>
      <c r="G886" s="2"/>
      <c r="H886" s="2"/>
      <c r="I886" s="2"/>
      <c r="J886" s="10"/>
      <c r="K886" s="9"/>
      <c r="AF886" s="2"/>
    </row>
    <row r="887" spans="1:33">
      <c r="A887" s="11" t="s">
        <v>568</v>
      </c>
      <c r="B887" t="s">
        <v>726</v>
      </c>
      <c r="C887" s="11"/>
      <c r="E887" s="12"/>
      <c r="F887" s="18"/>
      <c r="G887" s="2" t="s">
        <v>113</v>
      </c>
      <c r="H887" s="2"/>
      <c r="J887" s="11"/>
      <c r="K887" t="s">
        <v>868</v>
      </c>
      <c r="M887" s="10"/>
      <c r="N887" s="10"/>
      <c r="AF887" s="2"/>
    </row>
    <row r="888" spans="1:33">
      <c r="A888" s="11"/>
      <c r="B888" t="s">
        <v>114</v>
      </c>
      <c r="C888" s="11"/>
      <c r="E888" s="12"/>
      <c r="F888" s="18"/>
      <c r="G888" s="19"/>
      <c r="H888" s="2"/>
      <c r="J888" s="11"/>
      <c r="M888" s="10"/>
      <c r="N888" s="10"/>
      <c r="AF888" s="2"/>
    </row>
    <row r="889" spans="1:33">
      <c r="A889" t="s">
        <v>834</v>
      </c>
      <c r="B889" s="5"/>
      <c r="C889" s="11"/>
      <c r="D889" s="5" t="s">
        <v>122</v>
      </c>
      <c r="F889" t="s">
        <v>261</v>
      </c>
      <c r="G889" s="97">
        <f>SUM(H889:AE889)/48</f>
        <v>3.4261138325706622</v>
      </c>
      <c r="H889" s="97">
        <f>H878*$H$833*$F$16</f>
        <v>0.39595914922705777</v>
      </c>
      <c r="I889" s="97">
        <f t="shared" ref="I889:AE889" si="281">I878*$H$833*$F$16</f>
        <v>1.619109817734804</v>
      </c>
      <c r="J889" s="97">
        <f t="shared" si="281"/>
        <v>3.0236894050657579</v>
      </c>
      <c r="K889" s="97">
        <f t="shared" si="281"/>
        <v>4.431359112456196</v>
      </c>
      <c r="L889" s="97">
        <f t="shared" si="281"/>
        <v>5.7785530793945155</v>
      </c>
      <c r="M889" s="97">
        <f t="shared" si="281"/>
        <v>7.0505625594885402</v>
      </c>
      <c r="N889" s="97">
        <f t="shared" si="281"/>
        <v>8.1655446867889072</v>
      </c>
      <c r="O889" s="97">
        <f t="shared" si="281"/>
        <v>9.1250830803902723</v>
      </c>
      <c r="P889" s="97">
        <f t="shared" si="281"/>
        <v>9.9283618122614499</v>
      </c>
      <c r="Q889" s="97">
        <f t="shared" si="281"/>
        <v>10.553023236439277</v>
      </c>
      <c r="R889" s="97">
        <f t="shared" si="281"/>
        <v>10.976310244253803</v>
      </c>
      <c r="S889" s="97">
        <f t="shared" si="281"/>
        <v>11.179175798195319</v>
      </c>
      <c r="T889" s="97">
        <f t="shared" si="281"/>
        <v>11.179175798195319</v>
      </c>
      <c r="U889" s="97">
        <f t="shared" si="281"/>
        <v>10.976310244253803</v>
      </c>
      <c r="V889" s="97">
        <f t="shared" si="281"/>
        <v>10.553023236439277</v>
      </c>
      <c r="W889" s="97">
        <f t="shared" si="281"/>
        <v>9.9283618122614499</v>
      </c>
      <c r="X889" s="97">
        <f t="shared" si="281"/>
        <v>9.1250830803902723</v>
      </c>
      <c r="Y889" s="97">
        <f t="shared" si="281"/>
        <v>8.1655446867889072</v>
      </c>
      <c r="Z889" s="97">
        <f t="shared" si="281"/>
        <v>7.0505625594885402</v>
      </c>
      <c r="AA889" s="97">
        <f t="shared" si="281"/>
        <v>5.7785530793945155</v>
      </c>
      <c r="AB889" s="97">
        <f t="shared" si="281"/>
        <v>4.431359112456196</v>
      </c>
      <c r="AC889" s="97">
        <f t="shared" si="281"/>
        <v>3.0236894050657579</v>
      </c>
      <c r="AD889" s="97">
        <f t="shared" si="281"/>
        <v>1.619109817734804</v>
      </c>
      <c r="AE889" s="97">
        <f t="shared" si="281"/>
        <v>0.39595914922705777</v>
      </c>
      <c r="AF889" s="28"/>
      <c r="AG889" s="11"/>
    </row>
    <row r="890" spans="1:33">
      <c r="A890" t="s">
        <v>918</v>
      </c>
      <c r="B890" s="5"/>
      <c r="C890" s="11"/>
      <c r="D890" s="104" t="s">
        <v>126</v>
      </c>
      <c r="G890" s="97">
        <f>SUM(H890:AE890)/48</f>
        <v>2.3982796827994632</v>
      </c>
      <c r="H890" s="97">
        <f>H889*($U$20*(1-H$27)+$F$15*H$27)</f>
        <v>0.2771714044589404</v>
      </c>
      <c r="I890" s="97">
        <f t="shared" ref="I890:AE890" si="282">I889*($U$20*(1-I$27)+$F$15*I$27)</f>
        <v>1.1333768724143627</v>
      </c>
      <c r="J890" s="97">
        <f t="shared" si="282"/>
        <v>2.1165825835460303</v>
      </c>
      <c r="K890" s="97">
        <f t="shared" si="282"/>
        <v>3.1019513787193369</v>
      </c>
      <c r="L890" s="97">
        <f t="shared" si="282"/>
        <v>4.0449871555761607</v>
      </c>
      <c r="M890" s="97">
        <f t="shared" si="282"/>
        <v>4.9353937916419781</v>
      </c>
      <c r="N890" s="97">
        <f t="shared" si="282"/>
        <v>5.7158812807522343</v>
      </c>
      <c r="O890" s="97">
        <f t="shared" si="282"/>
        <v>6.3875581562731902</v>
      </c>
      <c r="P890" s="97">
        <f t="shared" si="282"/>
        <v>6.9498532685830146</v>
      </c>
      <c r="Q890" s="97">
        <f t="shared" si="282"/>
        <v>7.3871162655074931</v>
      </c>
      <c r="R890" s="97">
        <f t="shared" si="282"/>
        <v>7.6834171709776617</v>
      </c>
      <c r="S890" s="97">
        <f t="shared" si="282"/>
        <v>7.8254230587367228</v>
      </c>
      <c r="T890" s="97">
        <f t="shared" si="282"/>
        <v>7.8254230587367228</v>
      </c>
      <c r="U890" s="97">
        <f t="shared" si="282"/>
        <v>7.6834171709776617</v>
      </c>
      <c r="V890" s="97">
        <f t="shared" si="282"/>
        <v>7.3871162655074931</v>
      </c>
      <c r="W890" s="97">
        <f t="shared" si="282"/>
        <v>6.9498532685830146</v>
      </c>
      <c r="X890" s="97">
        <f t="shared" si="282"/>
        <v>6.3875581562731902</v>
      </c>
      <c r="Y890" s="97">
        <f t="shared" si="282"/>
        <v>5.7158812807522343</v>
      </c>
      <c r="Z890" s="97">
        <f t="shared" si="282"/>
        <v>4.9353937916419781</v>
      </c>
      <c r="AA890" s="97">
        <f t="shared" si="282"/>
        <v>4.0449871555761607</v>
      </c>
      <c r="AB890" s="97">
        <f t="shared" si="282"/>
        <v>3.1019513787193369</v>
      </c>
      <c r="AC890" s="97">
        <f t="shared" si="282"/>
        <v>2.1165825835460303</v>
      </c>
      <c r="AD890" s="97">
        <f t="shared" si="282"/>
        <v>1.1333768724143627</v>
      </c>
      <c r="AE890" s="97">
        <f t="shared" si="282"/>
        <v>0.2771714044589404</v>
      </c>
      <c r="AF890" s="28"/>
      <c r="AG890" s="11"/>
    </row>
    <row r="891" spans="1:33">
      <c r="A891" s="20" t="s">
        <v>835</v>
      </c>
      <c r="B891" s="5"/>
      <c r="C891" s="11"/>
      <c r="G891" s="19">
        <f>SUM(H891:AE891)/48</f>
        <v>2.2765325793138871</v>
      </c>
      <c r="H891" s="24">
        <f>H890*(1-($F$16+$F$13)*$H$833)</f>
        <v>0.26310097893521017</v>
      </c>
      <c r="I891" s="24">
        <f t="shared" ref="I891:AE891" si="283">I890*(1-($F$16+$F$13)*$H$833)</f>
        <v>1.0758417348890665</v>
      </c>
      <c r="J891" s="24">
        <f t="shared" si="283"/>
        <v>2.009135649527912</v>
      </c>
      <c r="K891" s="24">
        <f t="shared" si="283"/>
        <v>2.9444828406581953</v>
      </c>
      <c r="L891" s="24">
        <f t="shared" si="283"/>
        <v>3.8396460215292283</v>
      </c>
      <c r="M891" s="24">
        <f t="shared" si="283"/>
        <v>4.6848517456068279</v>
      </c>
      <c r="N891" s="24">
        <f t="shared" si="283"/>
        <v>5.4257182965140025</v>
      </c>
      <c r="O891" s="24">
        <f t="shared" si="283"/>
        <v>6.0632979336438693</v>
      </c>
      <c r="P891" s="24">
        <f t="shared" si="283"/>
        <v>6.5970485014125382</v>
      </c>
      <c r="Q891" s="24">
        <f t="shared" si="283"/>
        <v>7.0121141275637973</v>
      </c>
      <c r="R891" s="24">
        <f t="shared" si="283"/>
        <v>7.2933735108712803</v>
      </c>
      <c r="S891" s="24">
        <f t="shared" si="283"/>
        <v>7.428170562381359</v>
      </c>
      <c r="T891" s="24">
        <f t="shared" si="283"/>
        <v>7.428170562381359</v>
      </c>
      <c r="U891" s="24">
        <f t="shared" si="283"/>
        <v>7.2933735108712803</v>
      </c>
      <c r="V891" s="24">
        <f t="shared" si="283"/>
        <v>7.0121141275637973</v>
      </c>
      <c r="W891" s="24">
        <f t="shared" si="283"/>
        <v>6.5970485014125382</v>
      </c>
      <c r="X891" s="24">
        <f t="shared" si="283"/>
        <v>6.0632979336438693</v>
      </c>
      <c r="Y891" s="24">
        <f t="shared" si="283"/>
        <v>5.4257182965140025</v>
      </c>
      <c r="Z891" s="24">
        <f t="shared" si="283"/>
        <v>4.6848517456068279</v>
      </c>
      <c r="AA891" s="24">
        <f t="shared" si="283"/>
        <v>3.8396460215292283</v>
      </c>
      <c r="AB891" s="24">
        <f t="shared" si="283"/>
        <v>2.9444828406581953</v>
      </c>
      <c r="AC891" s="24">
        <f t="shared" si="283"/>
        <v>2.009135649527912</v>
      </c>
      <c r="AD891" s="24">
        <f t="shared" si="283"/>
        <v>1.0758417348890665</v>
      </c>
      <c r="AE891" s="24">
        <f t="shared" si="283"/>
        <v>0.26310097893521017</v>
      </c>
      <c r="AF891" s="28"/>
      <c r="AG891" s="11"/>
    </row>
    <row r="892" spans="1:33">
      <c r="A892" s="20"/>
      <c r="B892" s="24" t="s">
        <v>134</v>
      </c>
      <c r="C892" s="11"/>
      <c r="G892" s="19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8"/>
      <c r="AG892" s="11"/>
    </row>
    <row r="893" spans="1:33">
      <c r="A893" s="100" t="s">
        <v>836</v>
      </c>
      <c r="B893" s="5"/>
      <c r="C893" s="11"/>
      <c r="G893" s="19">
        <f>SUM(H893:AE893)/48</f>
        <v>7.88638500140489E-2</v>
      </c>
      <c r="H893" s="2">
        <f>H891^2/(H880+H885)</f>
        <v>8.9885681807261031E-3</v>
      </c>
      <c r="I893" s="2">
        <f t="shared" ref="I893:AE893" si="284">I891^2/(I880+I885)</f>
        <v>3.7097340313669978E-2</v>
      </c>
      <c r="J893" s="2">
        <f t="shared" si="284"/>
        <v>6.9506847045145537E-2</v>
      </c>
      <c r="K893" s="2">
        <f t="shared" si="284"/>
        <v>0.10201761982204219</v>
      </c>
      <c r="L893" s="2">
        <f t="shared" si="284"/>
        <v>0.13314611642497073</v>
      </c>
      <c r="M893" s="2">
        <f t="shared" si="284"/>
        <v>0.16255663689337477</v>
      </c>
      <c r="N893" s="2">
        <f t="shared" si="284"/>
        <v>0.18832679128097093</v>
      </c>
      <c r="O893" s="2">
        <f t="shared" si="284"/>
        <v>0.21050435076544716</v>
      </c>
      <c r="P893" s="2">
        <f t="shared" si="284"/>
        <v>0.22850537700075943</v>
      </c>
      <c r="Q893" s="2">
        <f t="shared" si="284"/>
        <v>0.24291573507027819</v>
      </c>
      <c r="R893" s="2">
        <f t="shared" si="284"/>
        <v>0.25267813504561676</v>
      </c>
      <c r="S893" s="2">
        <f t="shared" si="284"/>
        <v>0.25735488485746927</v>
      </c>
      <c r="T893" s="2">
        <f t="shared" si="284"/>
        <v>0.25735488485746927</v>
      </c>
      <c r="U893" s="2">
        <f t="shared" si="284"/>
        <v>0.25267813504561676</v>
      </c>
      <c r="V893" s="2">
        <f t="shared" si="284"/>
        <v>0.24291573507027819</v>
      </c>
      <c r="W893" s="2">
        <f t="shared" si="284"/>
        <v>0.22850537700075943</v>
      </c>
      <c r="X893" s="2">
        <f t="shared" si="284"/>
        <v>0.20997940225979767</v>
      </c>
      <c r="Y893" s="2">
        <f t="shared" si="284"/>
        <v>0.18785714840994608</v>
      </c>
      <c r="Z893" s="2">
        <f t="shared" si="284"/>
        <v>0.16215125874650849</v>
      </c>
      <c r="AA893" s="2">
        <f t="shared" si="284"/>
        <v>0.13281408122191596</v>
      </c>
      <c r="AB893" s="2">
        <f t="shared" si="284"/>
        <v>0.10201761982204219</v>
      </c>
      <c r="AC893" s="2">
        <f t="shared" si="284"/>
        <v>6.9506847045145537E-2</v>
      </c>
      <c r="AD893" s="2">
        <f t="shared" si="284"/>
        <v>3.7097340313669978E-2</v>
      </c>
      <c r="AE893" s="2">
        <f t="shared" si="284"/>
        <v>8.9885681807261031E-3</v>
      </c>
      <c r="AF893" s="28"/>
      <c r="AG893" s="11"/>
    </row>
    <row r="894" spans="1:33" ht="18">
      <c r="A894" s="100"/>
      <c r="B894" s="24" t="s">
        <v>262</v>
      </c>
      <c r="C894" s="11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8"/>
      <c r="AG894" s="11"/>
    </row>
    <row r="895" spans="1:33" ht="18">
      <c r="A895" s="20" t="s">
        <v>890</v>
      </c>
      <c r="G895" s="19">
        <f>(SUM(H895:AE895)+24*$U$24*(1-$H$833))/48</f>
        <v>198.58238205443172</v>
      </c>
      <c r="H895" s="2">
        <f>$U$24*(1-H$27)*(1-$H$833)</f>
        <v>264.77650940590894</v>
      </c>
      <c r="I895" s="2">
        <f t="shared" ref="I895:AE895" si="285">$U$24*(1-I$27)*(1-$H$833)</f>
        <v>264.77650940590894</v>
      </c>
      <c r="J895" s="2">
        <f t="shared" si="285"/>
        <v>264.77650940590894</v>
      </c>
      <c r="K895" s="2">
        <f t="shared" si="285"/>
        <v>264.77650940590894</v>
      </c>
      <c r="L895" s="2">
        <f t="shared" si="285"/>
        <v>264.77650940590894</v>
      </c>
      <c r="M895" s="2">
        <f t="shared" si="285"/>
        <v>264.77650940590894</v>
      </c>
      <c r="N895" s="2">
        <f t="shared" si="285"/>
        <v>264.77650940590894</v>
      </c>
      <c r="O895" s="2">
        <f t="shared" si="285"/>
        <v>264.77650940590894</v>
      </c>
      <c r="P895" s="2">
        <f t="shared" si="285"/>
        <v>0</v>
      </c>
      <c r="Q895" s="2">
        <f t="shared" si="285"/>
        <v>0</v>
      </c>
      <c r="R895" s="2">
        <f t="shared" si="285"/>
        <v>0</v>
      </c>
      <c r="S895" s="2">
        <f t="shared" si="285"/>
        <v>0</v>
      </c>
      <c r="T895" s="2">
        <f t="shared" si="285"/>
        <v>0</v>
      </c>
      <c r="U895" s="2">
        <f t="shared" si="285"/>
        <v>0</v>
      </c>
      <c r="V895" s="2">
        <f t="shared" si="285"/>
        <v>0</v>
      </c>
      <c r="W895" s="2">
        <f t="shared" si="285"/>
        <v>0</v>
      </c>
      <c r="X895" s="2">
        <f t="shared" si="285"/>
        <v>0</v>
      </c>
      <c r="Y895" s="2">
        <f t="shared" si="285"/>
        <v>0</v>
      </c>
      <c r="Z895" s="2">
        <f t="shared" si="285"/>
        <v>0</v>
      </c>
      <c r="AA895" s="2">
        <f t="shared" si="285"/>
        <v>0</v>
      </c>
      <c r="AB895" s="2">
        <f t="shared" si="285"/>
        <v>264.77650940590894</v>
      </c>
      <c r="AC895" s="2">
        <f t="shared" si="285"/>
        <v>264.77650940590894</v>
      </c>
      <c r="AD895" s="2">
        <f t="shared" si="285"/>
        <v>264.77650940590894</v>
      </c>
      <c r="AE895" s="2">
        <f t="shared" si="285"/>
        <v>264.77650940590894</v>
      </c>
      <c r="AF895" s="2"/>
    </row>
    <row r="896" spans="1:33">
      <c r="A896" s="14"/>
      <c r="B896" s="5" t="s">
        <v>116</v>
      </c>
      <c r="D896" t="s">
        <v>125</v>
      </c>
      <c r="E896" s="12"/>
      <c r="F896" s="6"/>
      <c r="G896" s="2" t="s">
        <v>860</v>
      </c>
      <c r="I896" s="2" t="s">
        <v>117</v>
      </c>
      <c r="J896" s="10"/>
      <c r="K896" s="9"/>
      <c r="AF896" s="2"/>
    </row>
    <row r="897" spans="1:33" ht="18">
      <c r="A897" s="20" t="s">
        <v>891</v>
      </c>
      <c r="D897" s="105" t="s">
        <v>892</v>
      </c>
      <c r="E897">
        <f>$F$7</f>
        <v>-5</v>
      </c>
      <c r="F897" s="5" t="s">
        <v>893</v>
      </c>
      <c r="G897" s="19">
        <f>SUM(H897:AE897)/48</f>
        <v>66.194127351477249</v>
      </c>
      <c r="H897" s="2">
        <f>$M$9*($F$7+273)^4*H$27*(1-$H$833)</f>
        <v>0</v>
      </c>
      <c r="I897" s="2">
        <f t="shared" ref="I897:AE897" si="286">$M$9*($F$7+273)^4*I$27*(1-$H$833)</f>
        <v>0</v>
      </c>
      <c r="J897" s="2">
        <f t="shared" si="286"/>
        <v>0</v>
      </c>
      <c r="K897" s="2">
        <f t="shared" si="286"/>
        <v>0</v>
      </c>
      <c r="L897" s="2">
        <f t="shared" si="286"/>
        <v>0</v>
      </c>
      <c r="M897" s="2">
        <f t="shared" si="286"/>
        <v>0</v>
      </c>
      <c r="N897" s="2">
        <f t="shared" si="286"/>
        <v>0</v>
      </c>
      <c r="O897" s="2">
        <f t="shared" si="286"/>
        <v>0</v>
      </c>
      <c r="P897" s="2">
        <f t="shared" si="286"/>
        <v>264.77650940590894</v>
      </c>
      <c r="Q897" s="2">
        <f t="shared" si="286"/>
        <v>264.77650940590894</v>
      </c>
      <c r="R897" s="2">
        <f t="shared" si="286"/>
        <v>264.77650940590894</v>
      </c>
      <c r="S897" s="2">
        <f t="shared" si="286"/>
        <v>264.77650940590894</v>
      </c>
      <c r="T897" s="2">
        <f t="shared" si="286"/>
        <v>264.77650940590894</v>
      </c>
      <c r="U897" s="2">
        <f t="shared" si="286"/>
        <v>264.77650940590894</v>
      </c>
      <c r="V897" s="2">
        <f t="shared" si="286"/>
        <v>264.77650940590894</v>
      </c>
      <c r="W897" s="2">
        <f t="shared" si="286"/>
        <v>264.77650940590894</v>
      </c>
      <c r="X897" s="2">
        <f t="shared" si="286"/>
        <v>264.77650940590894</v>
      </c>
      <c r="Y897" s="2">
        <f t="shared" si="286"/>
        <v>264.77650940590894</v>
      </c>
      <c r="Z897" s="2">
        <f t="shared" si="286"/>
        <v>264.77650940590894</v>
      </c>
      <c r="AA897" s="2">
        <f t="shared" si="286"/>
        <v>264.77650940590894</v>
      </c>
      <c r="AB897" s="2">
        <f t="shared" si="286"/>
        <v>0</v>
      </c>
      <c r="AC897" s="2">
        <f t="shared" si="286"/>
        <v>0</v>
      </c>
      <c r="AD897" s="2">
        <f t="shared" si="286"/>
        <v>0</v>
      </c>
      <c r="AE897" s="2">
        <f t="shared" si="286"/>
        <v>0</v>
      </c>
      <c r="AF897" s="2"/>
    </row>
    <row r="898" spans="1:33">
      <c r="A898" s="14"/>
      <c r="B898" t="s">
        <v>118</v>
      </c>
      <c r="D898" t="s">
        <v>744</v>
      </c>
      <c r="E898" s="30"/>
      <c r="F898" t="s">
        <v>618</v>
      </c>
      <c r="H898" s="2" t="s">
        <v>860</v>
      </c>
      <c r="I898" s="2"/>
      <c r="J898" s="2" t="s">
        <v>119</v>
      </c>
      <c r="K898" s="9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3">
      <c r="A899" s="20" t="s">
        <v>914</v>
      </c>
      <c r="B899" s="11"/>
      <c r="C899" s="11"/>
      <c r="D899" s="11"/>
      <c r="E899" s="27"/>
      <c r="F899" s="6"/>
      <c r="G899" s="19">
        <f>SUM(H899:AE899)/24</f>
        <v>12.551783676120003</v>
      </c>
      <c r="H899" s="24">
        <f t="shared" ref="H899:AE899" si="287">$M$9*($F$9+273)^4*$F$11*$H$18</f>
        <v>12.551783676119999</v>
      </c>
      <c r="I899" s="24">
        <f t="shared" si="287"/>
        <v>12.551783676119999</v>
      </c>
      <c r="J899" s="24">
        <f t="shared" si="287"/>
        <v>12.551783676119999</v>
      </c>
      <c r="K899" s="24">
        <f t="shared" si="287"/>
        <v>12.551783676119999</v>
      </c>
      <c r="L899" s="24">
        <f t="shared" si="287"/>
        <v>12.551783676119999</v>
      </c>
      <c r="M899" s="24">
        <f t="shared" si="287"/>
        <v>12.551783676119999</v>
      </c>
      <c r="N899" s="24">
        <f t="shared" si="287"/>
        <v>12.551783676119999</v>
      </c>
      <c r="O899" s="24">
        <f t="shared" si="287"/>
        <v>12.551783676119999</v>
      </c>
      <c r="P899" s="24">
        <f t="shared" si="287"/>
        <v>12.551783676119999</v>
      </c>
      <c r="Q899" s="24">
        <f t="shared" si="287"/>
        <v>12.551783676119999</v>
      </c>
      <c r="R899" s="24">
        <f t="shared" si="287"/>
        <v>12.551783676119999</v>
      </c>
      <c r="S899" s="24">
        <f t="shared" si="287"/>
        <v>12.551783676119999</v>
      </c>
      <c r="T899" s="24">
        <f t="shared" si="287"/>
        <v>12.551783676119999</v>
      </c>
      <c r="U899" s="24">
        <f t="shared" si="287"/>
        <v>12.551783676119999</v>
      </c>
      <c r="V899" s="24">
        <f t="shared" si="287"/>
        <v>12.551783676119999</v>
      </c>
      <c r="W899" s="24">
        <f t="shared" si="287"/>
        <v>12.551783676119999</v>
      </c>
      <c r="X899" s="24">
        <f t="shared" si="287"/>
        <v>12.551783676119999</v>
      </c>
      <c r="Y899" s="24">
        <f t="shared" si="287"/>
        <v>12.551783676119999</v>
      </c>
      <c r="Z899" s="24">
        <f t="shared" si="287"/>
        <v>12.551783676119999</v>
      </c>
      <c r="AA899" s="24">
        <f t="shared" si="287"/>
        <v>12.551783676119999</v>
      </c>
      <c r="AB899" s="24">
        <f t="shared" si="287"/>
        <v>12.551783676119999</v>
      </c>
      <c r="AC899" s="24">
        <f t="shared" si="287"/>
        <v>12.551783676119999</v>
      </c>
      <c r="AD899" s="24">
        <f t="shared" si="287"/>
        <v>12.551783676119999</v>
      </c>
      <c r="AE899" s="24">
        <f t="shared" si="287"/>
        <v>12.551783676119999</v>
      </c>
      <c r="AF899" s="28"/>
      <c r="AG899" s="11"/>
    </row>
    <row r="900" spans="1:33">
      <c r="A900" s="20"/>
      <c r="B900" s="5" t="s">
        <v>272</v>
      </c>
      <c r="C900" s="11"/>
      <c r="D900" t="s">
        <v>743</v>
      </c>
      <c r="E900" s="27"/>
      <c r="F900" s="6"/>
      <c r="G900" s="28"/>
      <c r="H900" t="s">
        <v>717</v>
      </c>
      <c r="I900" s="29"/>
      <c r="J900" s="11"/>
      <c r="K900" s="2" t="s">
        <v>273</v>
      </c>
      <c r="L900" s="11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11"/>
    </row>
    <row r="901" spans="1:33">
      <c r="A901" s="20"/>
      <c r="B901" s="27" t="s">
        <v>925</v>
      </c>
      <c r="C901" s="11" t="s">
        <v>266</v>
      </c>
      <c r="E901" s="27"/>
      <c r="F901" s="6"/>
      <c r="G901" s="28"/>
      <c r="I901" s="29"/>
      <c r="J901" s="11"/>
      <c r="K901" s="2"/>
      <c r="L901" s="11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11"/>
    </row>
    <row r="902" spans="1:33">
      <c r="A902" s="20"/>
      <c r="B902" s="14"/>
      <c r="C902" t="s">
        <v>274</v>
      </c>
      <c r="E902" s="27"/>
      <c r="F902" s="6"/>
      <c r="G902" s="28"/>
      <c r="I902" s="29"/>
      <c r="J902" s="11"/>
      <c r="K902" s="2"/>
      <c r="L902" s="11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11"/>
    </row>
    <row r="903" spans="1:33">
      <c r="A903" s="3"/>
      <c r="B903" s="16" t="s">
        <v>333</v>
      </c>
      <c r="E903" s="12"/>
      <c r="F903" s="6"/>
      <c r="G903" s="32">
        <f>G874+G880+G885+G891+G893+G895+G897+G899</f>
        <v>359.4320293365227</v>
      </c>
      <c r="H903" s="2"/>
      <c r="I903" s="29"/>
      <c r="K903" s="10"/>
      <c r="L903" s="3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3">
      <c r="A904" s="20"/>
      <c r="B904" s="16" t="s">
        <v>725</v>
      </c>
      <c r="E904" s="30"/>
      <c r="F904" s="6"/>
      <c r="G904" s="32">
        <f>G871-G903</f>
        <v>13.607440306097772</v>
      </c>
      <c r="H904" s="33"/>
      <c r="I904" s="8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3">
      <c r="A905" s="39" t="s">
        <v>512</v>
      </c>
      <c r="B905" s="16"/>
      <c r="E905" s="30"/>
      <c r="F905" s="12"/>
      <c r="G905" s="32"/>
      <c r="H905" s="33"/>
      <c r="I905" s="3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3">
      <c r="A906" s="3" t="s">
        <v>977</v>
      </c>
      <c r="E906" s="12"/>
      <c r="F906" s="6"/>
      <c r="G906" s="87" t="s">
        <v>535</v>
      </c>
      <c r="H906" s="21"/>
      <c r="I906" s="2"/>
      <c r="J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3">
      <c r="A907" s="20" t="s">
        <v>935</v>
      </c>
      <c r="B907" s="11"/>
      <c r="C907" s="11"/>
      <c r="E907" s="14" t="s">
        <v>563</v>
      </c>
      <c r="F907" s="31">
        <f>$F$15</f>
        <v>0.7</v>
      </c>
      <c r="G907" s="19">
        <f>SUM(H907:AE907)/48</f>
        <v>78.859498700525236</v>
      </c>
      <c r="H907" s="2">
        <f>H$69*$F$15</f>
        <v>15.531299709801685</v>
      </c>
      <c r="I907" s="2">
        <f t="shared" ref="I907:AE907" si="288">I$69*$F$15</f>
        <v>47.911987720242806</v>
      </c>
      <c r="J907" s="2">
        <f t="shared" si="288"/>
        <v>79.23917376842833</v>
      </c>
      <c r="K907" s="2">
        <f t="shared" si="288"/>
        <v>109.31971760617094</v>
      </c>
      <c r="L907" s="2">
        <f t="shared" si="288"/>
        <v>137.47337011967952</v>
      </c>
      <c r="M907" s="2">
        <f t="shared" si="288"/>
        <v>163.20260686474126</v>
      </c>
      <c r="N907" s="2">
        <f t="shared" si="288"/>
        <v>186.19049908437867</v>
      </c>
      <c r="O907" s="2">
        <f t="shared" si="288"/>
        <v>205.96955011808203</v>
      </c>
      <c r="P907" s="2">
        <f t="shared" si="288"/>
        <v>222.24692995417652</v>
      </c>
      <c r="Q907" s="2">
        <f t="shared" si="288"/>
        <v>234.73463754742613</v>
      </c>
      <c r="R907" s="2">
        <f t="shared" si="288"/>
        <v>243.30557564161614</v>
      </c>
      <c r="S907" s="2">
        <f t="shared" si="288"/>
        <v>247.50262067786113</v>
      </c>
      <c r="T907" s="2">
        <f t="shared" si="288"/>
        <v>247.50262067786113</v>
      </c>
      <c r="U907" s="2">
        <f t="shared" si="288"/>
        <v>243.30557564161614</v>
      </c>
      <c r="V907" s="2">
        <f t="shared" si="288"/>
        <v>234.73463754742613</v>
      </c>
      <c r="W907" s="2">
        <f t="shared" si="288"/>
        <v>222.24692995417652</v>
      </c>
      <c r="X907" s="2">
        <f t="shared" si="288"/>
        <v>205.96955011808203</v>
      </c>
      <c r="Y907" s="2">
        <f t="shared" si="288"/>
        <v>186.19049908437867</v>
      </c>
      <c r="Z907" s="2">
        <f t="shared" si="288"/>
        <v>163.20260686474126</v>
      </c>
      <c r="AA907" s="2">
        <f t="shared" si="288"/>
        <v>137.47337011967952</v>
      </c>
      <c r="AB907" s="2">
        <f t="shared" si="288"/>
        <v>109.31971760617094</v>
      </c>
      <c r="AC907" s="2">
        <f t="shared" si="288"/>
        <v>79.23917376842833</v>
      </c>
      <c r="AD907" s="2">
        <f t="shared" si="288"/>
        <v>47.911987720242806</v>
      </c>
      <c r="AE907" s="2">
        <f t="shared" si="288"/>
        <v>15.531299709801685</v>
      </c>
      <c r="AF907" s="28"/>
      <c r="AG907" s="11"/>
    </row>
    <row r="908" spans="1:33">
      <c r="A908" s="3"/>
      <c r="B908" s="5" t="s">
        <v>100</v>
      </c>
      <c r="C908" s="11"/>
      <c r="D908" t="s">
        <v>124</v>
      </c>
      <c r="F908" s="27"/>
      <c r="G908" s="2"/>
      <c r="H908" s="2" t="s">
        <v>1019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8"/>
      <c r="AG908" s="11"/>
    </row>
    <row r="909" spans="1:33">
      <c r="A909" s="20" t="s">
        <v>936</v>
      </c>
      <c r="B909" s="11"/>
      <c r="C909" s="11"/>
      <c r="D909" s="24" t="s">
        <v>1013</v>
      </c>
      <c r="E909" s="27"/>
      <c r="F909" s="6" t="s">
        <v>1049</v>
      </c>
      <c r="G909" s="19">
        <f>SUM(H909:AE909)/24</f>
        <v>294.0451576320001</v>
      </c>
      <c r="H909" s="2">
        <f>$M$9*($F$7+273)^4</f>
        <v>294.04515763199998</v>
      </c>
      <c r="I909" s="2">
        <f t="shared" ref="I909:AE909" si="289">$M$9*($F$7+273)^4</f>
        <v>294.04515763199998</v>
      </c>
      <c r="J909" s="2">
        <f t="shared" si="289"/>
        <v>294.04515763199998</v>
      </c>
      <c r="K909" s="2">
        <f t="shared" si="289"/>
        <v>294.04515763199998</v>
      </c>
      <c r="L909" s="2">
        <f t="shared" si="289"/>
        <v>294.04515763199998</v>
      </c>
      <c r="M909" s="2">
        <f t="shared" si="289"/>
        <v>294.04515763199998</v>
      </c>
      <c r="N909" s="2">
        <f t="shared" si="289"/>
        <v>294.04515763199998</v>
      </c>
      <c r="O909" s="2">
        <f t="shared" si="289"/>
        <v>294.04515763199998</v>
      </c>
      <c r="P909" s="2">
        <f t="shared" si="289"/>
        <v>294.04515763199998</v>
      </c>
      <c r="Q909" s="2">
        <f t="shared" si="289"/>
        <v>294.04515763199998</v>
      </c>
      <c r="R909" s="2">
        <f t="shared" si="289"/>
        <v>294.04515763199998</v>
      </c>
      <c r="S909" s="2">
        <f t="shared" si="289"/>
        <v>294.04515763199998</v>
      </c>
      <c r="T909" s="2">
        <f t="shared" si="289"/>
        <v>294.04515763199998</v>
      </c>
      <c r="U909" s="2">
        <f t="shared" si="289"/>
        <v>294.04515763199998</v>
      </c>
      <c r="V909" s="2">
        <f t="shared" si="289"/>
        <v>294.04515763199998</v>
      </c>
      <c r="W909" s="2">
        <f t="shared" si="289"/>
        <v>294.04515763199998</v>
      </c>
      <c r="X909" s="2">
        <f t="shared" si="289"/>
        <v>294.04515763199998</v>
      </c>
      <c r="Y909" s="2">
        <f t="shared" si="289"/>
        <v>294.04515763199998</v>
      </c>
      <c r="Z909" s="2">
        <f t="shared" si="289"/>
        <v>294.04515763199998</v>
      </c>
      <c r="AA909" s="2">
        <f t="shared" si="289"/>
        <v>294.04515763199998</v>
      </c>
      <c r="AB909" s="2">
        <f t="shared" si="289"/>
        <v>294.04515763199998</v>
      </c>
      <c r="AC909" s="2">
        <f t="shared" si="289"/>
        <v>294.04515763199998</v>
      </c>
      <c r="AD909" s="2">
        <f t="shared" si="289"/>
        <v>294.04515763199998</v>
      </c>
      <c r="AE909" s="2">
        <f t="shared" si="289"/>
        <v>294.04515763199998</v>
      </c>
      <c r="AF909" s="28"/>
      <c r="AG909" s="11"/>
    </row>
    <row r="910" spans="1:33">
      <c r="A910" s="20"/>
      <c r="B910" s="16" t="s">
        <v>729</v>
      </c>
      <c r="C910" s="11"/>
      <c r="D910" s="11"/>
      <c r="E910" s="21"/>
      <c r="F910" s="21"/>
      <c r="G910" s="82">
        <f>G907+G909</f>
        <v>372.90465633252535</v>
      </c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8"/>
      <c r="AG910" s="11"/>
    </row>
    <row r="911" spans="1:33">
      <c r="A911" s="39" t="s">
        <v>512</v>
      </c>
      <c r="B911" s="16"/>
      <c r="C911" s="11"/>
      <c r="D911" s="11"/>
      <c r="E911" s="21"/>
      <c r="F911" s="21"/>
      <c r="G911" s="82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8"/>
      <c r="AG911" s="11"/>
    </row>
    <row r="912" spans="1:33">
      <c r="A912" s="3" t="s">
        <v>325</v>
      </c>
      <c r="B912" s="16"/>
      <c r="C912" s="11"/>
      <c r="D912" s="11"/>
      <c r="E912" s="21"/>
      <c r="F912" s="21"/>
      <c r="G912" s="82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8"/>
      <c r="AG912" s="11"/>
    </row>
    <row r="913" spans="1:33">
      <c r="A913" s="3" t="s">
        <v>877</v>
      </c>
      <c r="G913" s="19">
        <f>SUM(H913:AE913)/48</f>
        <v>14.032403156124957</v>
      </c>
      <c r="H913" s="24">
        <f>H$69*H$832*$F$16</f>
        <v>10.609741189059475</v>
      </c>
      <c r="I913" s="24">
        <f t="shared" ref="I913:AE913" si="290">I$69*I$832*$F$16</f>
        <v>21.539874614920286</v>
      </c>
      <c r="J913" s="24">
        <f t="shared" si="290"/>
        <v>25.888881281656886</v>
      </c>
      <c r="K913" s="24">
        <f t="shared" si="290"/>
        <v>28.404930660439994</v>
      </c>
      <c r="L913" s="24">
        <f t="shared" si="290"/>
        <v>29.92411470968262</v>
      </c>
      <c r="M913" s="24">
        <f t="shared" si="290"/>
        <v>30.163542769009339</v>
      </c>
      <c r="N913" s="24">
        <f t="shared" si="290"/>
        <v>30.982496339728456</v>
      </c>
      <c r="O913" s="24">
        <f t="shared" si="290"/>
        <v>31.681653197365755</v>
      </c>
      <c r="P913" s="24">
        <f t="shared" si="290"/>
        <v>31.873848497503371</v>
      </c>
      <c r="Q913" s="24">
        <f t="shared" si="290"/>
        <v>31.78489119762753</v>
      </c>
      <c r="R913" s="24">
        <f t="shared" si="290"/>
        <v>31.877187075881881</v>
      </c>
      <c r="S913" s="24">
        <f t="shared" si="290"/>
        <v>32.04651421412337</v>
      </c>
      <c r="T913" s="24">
        <f t="shared" si="290"/>
        <v>32.04651421412337</v>
      </c>
      <c r="U913" s="24">
        <f t="shared" si="290"/>
        <v>31.877187075881881</v>
      </c>
      <c r="V913" s="24">
        <f t="shared" si="290"/>
        <v>31.78489119762753</v>
      </c>
      <c r="W913" s="24">
        <f t="shared" si="290"/>
        <v>31.873848497503371</v>
      </c>
      <c r="X913" s="24">
        <f t="shared" si="290"/>
        <v>31.681653197365755</v>
      </c>
      <c r="Y913" s="24">
        <f t="shared" si="290"/>
        <v>30.982496339728456</v>
      </c>
      <c r="Z913" s="24">
        <f t="shared" si="290"/>
        <v>30.163542769009339</v>
      </c>
      <c r="AA913" s="24">
        <f t="shared" si="290"/>
        <v>29.92411470968262</v>
      </c>
      <c r="AB913" s="24">
        <f t="shared" si="290"/>
        <v>28.404930660439994</v>
      </c>
      <c r="AC913" s="24">
        <f t="shared" si="290"/>
        <v>25.888881281656886</v>
      </c>
      <c r="AD913" s="24">
        <f t="shared" si="290"/>
        <v>21.539874614920286</v>
      </c>
      <c r="AE913" s="24">
        <f t="shared" si="290"/>
        <v>10.609741189059475</v>
      </c>
      <c r="AF913" s="28"/>
      <c r="AG913" s="11"/>
    </row>
    <row r="914" spans="1:33">
      <c r="B914" s="5" t="s">
        <v>101</v>
      </c>
      <c r="D914" t="s">
        <v>99</v>
      </c>
      <c r="G914" t="s">
        <v>894</v>
      </c>
      <c r="J914" s="2"/>
      <c r="K914" s="2" t="s">
        <v>105</v>
      </c>
      <c r="L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3">
      <c r="A915" t="s">
        <v>879</v>
      </c>
      <c r="C915" s="11"/>
      <c r="G915" s="98">
        <f>SUM(H915:AE915)/48</f>
        <v>98.343375495788578</v>
      </c>
      <c r="H915" s="97">
        <f>H$69*(1-($F$16+$F$13)*H$832)</f>
        <v>11.365635001161744</v>
      </c>
      <c r="I915" s="97">
        <f t="shared" ref="I915:AE915" si="291">I$69*(1-($F$16+$F$13)*I$832)</f>
        <v>46.475024635985321</v>
      </c>
      <c r="J915" s="97">
        <f t="shared" si="291"/>
        <v>86.792160761893314</v>
      </c>
      <c r="K915" s="97">
        <f t="shared" si="291"/>
        <v>127.19799587802397</v>
      </c>
      <c r="L915" s="97">
        <f t="shared" si="291"/>
        <v>165.86793173852305</v>
      </c>
      <c r="M915" s="97">
        <f t="shared" si="291"/>
        <v>202.37976761095516</v>
      </c>
      <c r="N915" s="97">
        <f t="shared" si="291"/>
        <v>234.38428099687511</v>
      </c>
      <c r="O915" s="97">
        <f t="shared" si="291"/>
        <v>261.92692819308985</v>
      </c>
      <c r="P915" s="97">
        <f t="shared" si="291"/>
        <v>284.98428875279876</v>
      </c>
      <c r="Q915" s="97">
        <f t="shared" si="291"/>
        <v>302.91460747474304</v>
      </c>
      <c r="R915" s="97">
        <f t="shared" si="291"/>
        <v>315.06466295633783</v>
      </c>
      <c r="S915" s="97">
        <f t="shared" si="291"/>
        <v>320.88772789853869</v>
      </c>
      <c r="T915" s="97">
        <f t="shared" si="291"/>
        <v>320.88772789853869</v>
      </c>
      <c r="U915" s="97">
        <f t="shared" si="291"/>
        <v>315.06466295633783</v>
      </c>
      <c r="V915" s="97">
        <f t="shared" si="291"/>
        <v>302.91460747474304</v>
      </c>
      <c r="W915" s="97">
        <f t="shared" si="291"/>
        <v>284.98428875279876</v>
      </c>
      <c r="X915" s="97">
        <f t="shared" si="291"/>
        <v>261.92692819308985</v>
      </c>
      <c r="Y915" s="97">
        <f t="shared" si="291"/>
        <v>234.38428099687511</v>
      </c>
      <c r="Z915" s="97">
        <f t="shared" si="291"/>
        <v>202.37976761095516</v>
      </c>
      <c r="AA915" s="97">
        <f t="shared" si="291"/>
        <v>165.86793173852305</v>
      </c>
      <c r="AB915" s="97">
        <f t="shared" si="291"/>
        <v>127.19799587802397</v>
      </c>
      <c r="AC915" s="97">
        <f t="shared" si="291"/>
        <v>86.792160761893314</v>
      </c>
      <c r="AD915" s="97">
        <f t="shared" si="291"/>
        <v>46.475024635985321</v>
      </c>
      <c r="AE915" s="97">
        <f t="shared" si="291"/>
        <v>11.365635001161744</v>
      </c>
      <c r="AF915" s="28"/>
      <c r="AG915" s="11"/>
    </row>
    <row r="916" spans="1:33">
      <c r="B916" s="24" t="s">
        <v>103</v>
      </c>
      <c r="D916" s="2" t="s">
        <v>123</v>
      </c>
      <c r="E916" s="24" t="s">
        <v>880</v>
      </c>
      <c r="G916" t="s">
        <v>853</v>
      </c>
      <c r="I916" t="s">
        <v>104</v>
      </c>
      <c r="AF916" s="28"/>
      <c r="AG916" s="11"/>
    </row>
    <row r="917" spans="1:33">
      <c r="A917" t="s">
        <v>895</v>
      </c>
      <c r="C917" s="11"/>
      <c r="D917" s="24"/>
      <c r="G917" s="97">
        <f>SUM(H917:AE917)/48</f>
        <v>68.840362847051992</v>
      </c>
      <c r="H917" s="97">
        <f>H915*$F$15</f>
        <v>7.9559445008132199</v>
      </c>
      <c r="I917" s="97">
        <f t="shared" ref="I917:AE917" si="292">I915*$F$15</f>
        <v>32.532517245189723</v>
      </c>
      <c r="J917" s="97">
        <f t="shared" si="292"/>
        <v>60.754512533325318</v>
      </c>
      <c r="K917" s="97">
        <f t="shared" si="292"/>
        <v>89.038597114616778</v>
      </c>
      <c r="L917" s="97">
        <f t="shared" si="292"/>
        <v>116.10755221696613</v>
      </c>
      <c r="M917" s="97">
        <f t="shared" si="292"/>
        <v>141.66583732766861</v>
      </c>
      <c r="N917" s="97">
        <f t="shared" si="292"/>
        <v>164.06899669781257</v>
      </c>
      <c r="O917" s="97">
        <f t="shared" si="292"/>
        <v>183.34884973516287</v>
      </c>
      <c r="P917" s="97">
        <f t="shared" si="292"/>
        <v>199.48900212695912</v>
      </c>
      <c r="Q917" s="97">
        <f t="shared" si="292"/>
        <v>212.04022523232013</v>
      </c>
      <c r="R917" s="97">
        <f t="shared" si="292"/>
        <v>220.54526406943646</v>
      </c>
      <c r="S917" s="97">
        <f t="shared" si="292"/>
        <v>224.62140952897707</v>
      </c>
      <c r="T917" s="97">
        <f t="shared" si="292"/>
        <v>224.62140952897707</v>
      </c>
      <c r="U917" s="97">
        <f t="shared" si="292"/>
        <v>220.54526406943646</v>
      </c>
      <c r="V917" s="97">
        <f t="shared" si="292"/>
        <v>212.04022523232013</v>
      </c>
      <c r="W917" s="97">
        <f t="shared" si="292"/>
        <v>199.48900212695912</v>
      </c>
      <c r="X917" s="97">
        <f t="shared" si="292"/>
        <v>183.34884973516287</v>
      </c>
      <c r="Y917" s="97">
        <f t="shared" si="292"/>
        <v>164.06899669781257</v>
      </c>
      <c r="Z917" s="97">
        <f t="shared" si="292"/>
        <v>141.66583732766861</v>
      </c>
      <c r="AA917" s="97">
        <f t="shared" si="292"/>
        <v>116.10755221696613</v>
      </c>
      <c r="AB917" s="97">
        <f t="shared" si="292"/>
        <v>89.038597114616778</v>
      </c>
      <c r="AC917" s="97">
        <f t="shared" si="292"/>
        <v>60.754512533325318</v>
      </c>
      <c r="AD917" s="97">
        <f t="shared" si="292"/>
        <v>32.532517245189723</v>
      </c>
      <c r="AE917" s="97">
        <f t="shared" si="292"/>
        <v>7.9559445008132199</v>
      </c>
      <c r="AF917" s="28"/>
      <c r="AG917" s="11"/>
    </row>
    <row r="918" spans="1:33">
      <c r="B918" s="24" t="s">
        <v>938</v>
      </c>
      <c r="C918" s="14" t="s">
        <v>897</v>
      </c>
      <c r="D918" s="24" t="s">
        <v>135</v>
      </c>
      <c r="I918" s="24"/>
      <c r="AF918" s="28"/>
      <c r="AG918" s="11"/>
    </row>
    <row r="919" spans="1:33">
      <c r="A919" s="20" t="s">
        <v>896</v>
      </c>
      <c r="B919" s="11"/>
      <c r="C919" s="11"/>
      <c r="E919" s="14" t="s">
        <v>563</v>
      </c>
      <c r="F919" s="31">
        <f>$F$15</f>
        <v>0.7</v>
      </c>
      <c r="G919" s="19">
        <f>SUM(H919:AE919)/48</f>
        <v>65.345726737829921</v>
      </c>
      <c r="H919" s="2">
        <f>H917*(1-($F$16+$F$13)*$H$833)</f>
        <v>7.5520661686016206</v>
      </c>
      <c r="I919" s="2">
        <f t="shared" ref="I919:AE919" si="293">I917*(1-($F$16+$F$13)*$H$833)</f>
        <v>30.881025231100221</v>
      </c>
      <c r="J919" s="2">
        <f t="shared" si="293"/>
        <v>57.670349340158239</v>
      </c>
      <c r="K919" s="2">
        <f t="shared" si="293"/>
        <v>84.518610819911459</v>
      </c>
      <c r="L919" s="2">
        <f t="shared" si="293"/>
        <v>110.21342807598371</v>
      </c>
      <c r="M919" s="2">
        <f t="shared" si="293"/>
        <v>134.47426351699031</v>
      </c>
      <c r="N919" s="2">
        <f t="shared" si="293"/>
        <v>155.74014111728786</v>
      </c>
      <c r="O919" s="2">
        <f t="shared" si="293"/>
        <v>174.04126499316479</v>
      </c>
      <c r="P919" s="2">
        <f t="shared" si="293"/>
        <v>189.36207307845243</v>
      </c>
      <c r="Q919" s="2">
        <f t="shared" si="293"/>
        <v>201.27614153115206</v>
      </c>
      <c r="R919" s="2">
        <f t="shared" si="293"/>
        <v>209.34942762029758</v>
      </c>
      <c r="S919" s="2">
        <f t="shared" si="293"/>
        <v>213.21865021481784</v>
      </c>
      <c r="T919" s="2">
        <f t="shared" si="293"/>
        <v>213.21865021481784</v>
      </c>
      <c r="U919" s="2">
        <f t="shared" si="293"/>
        <v>209.34942762029758</v>
      </c>
      <c r="V919" s="2">
        <f t="shared" si="293"/>
        <v>201.27614153115206</v>
      </c>
      <c r="W919" s="2">
        <f t="shared" si="293"/>
        <v>189.36207307845243</v>
      </c>
      <c r="X919" s="2">
        <f t="shared" si="293"/>
        <v>174.04126499316479</v>
      </c>
      <c r="Y919" s="2">
        <f t="shared" si="293"/>
        <v>155.74014111728786</v>
      </c>
      <c r="Z919" s="2">
        <f t="shared" si="293"/>
        <v>134.47426351699031</v>
      </c>
      <c r="AA919" s="2">
        <f t="shared" si="293"/>
        <v>110.21342807598371</v>
      </c>
      <c r="AB919" s="2">
        <f t="shared" si="293"/>
        <v>84.518610819911459</v>
      </c>
      <c r="AC919" s="2">
        <f t="shared" si="293"/>
        <v>57.670349340158239</v>
      </c>
      <c r="AD919" s="2">
        <f t="shared" si="293"/>
        <v>30.881025231100221</v>
      </c>
      <c r="AE919" s="2">
        <f t="shared" si="293"/>
        <v>7.5520661686016206</v>
      </c>
      <c r="AF919" s="28"/>
      <c r="AG919" s="11"/>
    </row>
    <row r="920" spans="1:33">
      <c r="A920" s="3"/>
      <c r="B920" s="5" t="s">
        <v>136</v>
      </c>
      <c r="C920" s="11"/>
      <c r="D920" t="s">
        <v>110</v>
      </c>
      <c r="F920" s="27"/>
      <c r="G920" s="2"/>
      <c r="H920" s="2" t="s">
        <v>898</v>
      </c>
      <c r="I920" s="2"/>
      <c r="J920" s="2" t="s">
        <v>899</v>
      </c>
      <c r="K920" s="2"/>
      <c r="L920" t="s">
        <v>263</v>
      </c>
      <c r="M920" s="2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11"/>
    </row>
    <row r="921" spans="1:33">
      <c r="A921" t="s">
        <v>834</v>
      </c>
      <c r="B921" s="5"/>
      <c r="C921" s="11"/>
      <c r="D921" s="5" t="s">
        <v>122</v>
      </c>
      <c r="F921" t="s">
        <v>137</v>
      </c>
      <c r="G921" s="97">
        <f>SUM(H921:AE921)/48</f>
        <v>3.4261138325706622</v>
      </c>
      <c r="H921" s="97">
        <f>H917*$H$833*$F$16</f>
        <v>0.39595914922705777</v>
      </c>
      <c r="I921" s="97">
        <f t="shared" ref="I921:AE921" si="294">I917*$H$833*$F$16</f>
        <v>1.619109817734804</v>
      </c>
      <c r="J921" s="97">
        <f t="shared" si="294"/>
        <v>3.0236894050657579</v>
      </c>
      <c r="K921" s="97">
        <f t="shared" si="294"/>
        <v>4.431359112456196</v>
      </c>
      <c r="L921" s="97">
        <f t="shared" si="294"/>
        <v>5.7785530793945155</v>
      </c>
      <c r="M921" s="97">
        <f t="shared" si="294"/>
        <v>7.0505625594885402</v>
      </c>
      <c r="N921" s="97">
        <f t="shared" si="294"/>
        <v>8.1655446867889072</v>
      </c>
      <c r="O921" s="97">
        <f t="shared" si="294"/>
        <v>9.1250830803902723</v>
      </c>
      <c r="P921" s="97">
        <f t="shared" si="294"/>
        <v>9.9283618122614499</v>
      </c>
      <c r="Q921" s="97">
        <f t="shared" si="294"/>
        <v>10.553023236439277</v>
      </c>
      <c r="R921" s="97">
        <f t="shared" si="294"/>
        <v>10.976310244253803</v>
      </c>
      <c r="S921" s="97">
        <f t="shared" si="294"/>
        <v>11.179175798195319</v>
      </c>
      <c r="T921" s="97">
        <f t="shared" si="294"/>
        <v>11.179175798195319</v>
      </c>
      <c r="U921" s="97">
        <f t="shared" si="294"/>
        <v>10.976310244253803</v>
      </c>
      <c r="V921" s="97">
        <f t="shared" si="294"/>
        <v>10.553023236439277</v>
      </c>
      <c r="W921" s="97">
        <f t="shared" si="294"/>
        <v>9.9283618122614499</v>
      </c>
      <c r="X921" s="97">
        <f t="shared" si="294"/>
        <v>9.1250830803902723</v>
      </c>
      <c r="Y921" s="97">
        <f t="shared" si="294"/>
        <v>8.1655446867889072</v>
      </c>
      <c r="Z921" s="97">
        <f t="shared" si="294"/>
        <v>7.0505625594885402</v>
      </c>
      <c r="AA921" s="97">
        <f t="shared" si="294"/>
        <v>5.7785530793945155</v>
      </c>
      <c r="AB921" s="97">
        <f t="shared" si="294"/>
        <v>4.431359112456196</v>
      </c>
      <c r="AC921" s="97">
        <f t="shared" si="294"/>
        <v>3.0236894050657579</v>
      </c>
      <c r="AD921" s="97">
        <f t="shared" si="294"/>
        <v>1.619109817734804</v>
      </c>
      <c r="AE921" s="97">
        <f t="shared" si="294"/>
        <v>0.39595914922705777</v>
      </c>
      <c r="AF921" s="28"/>
      <c r="AG921" s="11"/>
    </row>
    <row r="922" spans="1:33">
      <c r="A922" t="s">
        <v>930</v>
      </c>
      <c r="B922" s="5"/>
      <c r="C922" s="11"/>
      <c r="D922" s="5" t="s">
        <v>138</v>
      </c>
      <c r="G922" s="97">
        <f>SUM(H922:AE922)/48</f>
        <v>2.3982796827994632</v>
      </c>
      <c r="H922" s="97">
        <f>H921*$F$15</f>
        <v>0.2771714044589404</v>
      </c>
      <c r="I922" s="97">
        <f t="shared" ref="I922:AE922" si="295">I921*$F$15</f>
        <v>1.1333768724143627</v>
      </c>
      <c r="J922" s="97">
        <f t="shared" si="295"/>
        <v>2.1165825835460303</v>
      </c>
      <c r="K922" s="97">
        <f t="shared" si="295"/>
        <v>3.1019513787193369</v>
      </c>
      <c r="L922" s="97">
        <f t="shared" si="295"/>
        <v>4.0449871555761607</v>
      </c>
      <c r="M922" s="97">
        <f t="shared" si="295"/>
        <v>4.9353937916419781</v>
      </c>
      <c r="N922" s="97">
        <f t="shared" si="295"/>
        <v>5.7158812807522343</v>
      </c>
      <c r="O922" s="97">
        <f t="shared" si="295"/>
        <v>6.3875581562731902</v>
      </c>
      <c r="P922" s="97">
        <f t="shared" si="295"/>
        <v>6.9498532685830146</v>
      </c>
      <c r="Q922" s="97">
        <f t="shared" si="295"/>
        <v>7.3871162655074931</v>
      </c>
      <c r="R922" s="97">
        <f t="shared" si="295"/>
        <v>7.6834171709776617</v>
      </c>
      <c r="S922" s="97">
        <f t="shared" si="295"/>
        <v>7.8254230587367228</v>
      </c>
      <c r="T922" s="97">
        <f t="shared" si="295"/>
        <v>7.8254230587367228</v>
      </c>
      <c r="U922" s="97">
        <f t="shared" si="295"/>
        <v>7.6834171709776617</v>
      </c>
      <c r="V922" s="97">
        <f t="shared" si="295"/>
        <v>7.3871162655074931</v>
      </c>
      <c r="W922" s="97">
        <f t="shared" si="295"/>
        <v>6.9498532685830146</v>
      </c>
      <c r="X922" s="97">
        <f t="shared" si="295"/>
        <v>6.3875581562731902</v>
      </c>
      <c r="Y922" s="97">
        <f t="shared" si="295"/>
        <v>5.7158812807522343</v>
      </c>
      <c r="Z922" s="97">
        <f t="shared" si="295"/>
        <v>4.9353937916419781</v>
      </c>
      <c r="AA922" s="97">
        <f t="shared" si="295"/>
        <v>4.0449871555761607</v>
      </c>
      <c r="AB922" s="97">
        <f t="shared" si="295"/>
        <v>3.1019513787193369</v>
      </c>
      <c r="AC922" s="97">
        <f t="shared" si="295"/>
        <v>2.1165825835460303</v>
      </c>
      <c r="AD922" s="97">
        <f t="shared" si="295"/>
        <v>1.1333768724143627</v>
      </c>
      <c r="AE922" s="97">
        <f t="shared" si="295"/>
        <v>0.2771714044589404</v>
      </c>
      <c r="AF922" s="28"/>
      <c r="AG922" s="11"/>
    </row>
    <row r="923" spans="1:33">
      <c r="A923" s="20" t="s">
        <v>835</v>
      </c>
      <c r="B923" s="5"/>
      <c r="C923" s="11"/>
      <c r="G923" s="19">
        <f>SUM(H923:AE923)/48</f>
        <v>2.2765325793138871</v>
      </c>
      <c r="H923" s="24">
        <f>H922*(1-($F$16+$F$13)*$H$833)</f>
        <v>0.26310097893521017</v>
      </c>
      <c r="I923" s="24">
        <f t="shared" ref="I923:AE923" si="296">I922*(1-($F$16+$F$13)*$H$833)</f>
        <v>1.0758417348890665</v>
      </c>
      <c r="J923" s="24">
        <f t="shared" si="296"/>
        <v>2.009135649527912</v>
      </c>
      <c r="K923" s="24">
        <f t="shared" si="296"/>
        <v>2.9444828406581953</v>
      </c>
      <c r="L923" s="24">
        <f t="shared" si="296"/>
        <v>3.8396460215292283</v>
      </c>
      <c r="M923" s="24">
        <f t="shared" si="296"/>
        <v>4.6848517456068279</v>
      </c>
      <c r="N923" s="24">
        <f t="shared" si="296"/>
        <v>5.4257182965140025</v>
      </c>
      <c r="O923" s="24">
        <f t="shared" si="296"/>
        <v>6.0632979336438693</v>
      </c>
      <c r="P923" s="24">
        <f t="shared" si="296"/>
        <v>6.5970485014125382</v>
      </c>
      <c r="Q923" s="24">
        <f t="shared" si="296"/>
        <v>7.0121141275637973</v>
      </c>
      <c r="R923" s="24">
        <f t="shared" si="296"/>
        <v>7.2933735108712803</v>
      </c>
      <c r="S923" s="24">
        <f t="shared" si="296"/>
        <v>7.428170562381359</v>
      </c>
      <c r="T923" s="24">
        <f t="shared" si="296"/>
        <v>7.428170562381359</v>
      </c>
      <c r="U923" s="24">
        <f t="shared" si="296"/>
        <v>7.2933735108712803</v>
      </c>
      <c r="V923" s="24">
        <f t="shared" si="296"/>
        <v>7.0121141275637973</v>
      </c>
      <c r="W923" s="24">
        <f t="shared" si="296"/>
        <v>6.5970485014125382</v>
      </c>
      <c r="X923" s="24">
        <f t="shared" si="296"/>
        <v>6.0632979336438693</v>
      </c>
      <c r="Y923" s="24">
        <f t="shared" si="296"/>
        <v>5.4257182965140025</v>
      </c>
      <c r="Z923" s="24">
        <f t="shared" si="296"/>
        <v>4.6848517456068279</v>
      </c>
      <c r="AA923" s="24">
        <f t="shared" si="296"/>
        <v>3.8396460215292283</v>
      </c>
      <c r="AB923" s="24">
        <f t="shared" si="296"/>
        <v>2.9444828406581953</v>
      </c>
      <c r="AC923" s="24">
        <f t="shared" si="296"/>
        <v>2.009135649527912</v>
      </c>
      <c r="AD923" s="24">
        <f t="shared" si="296"/>
        <v>1.0758417348890665</v>
      </c>
      <c r="AE923" s="24">
        <f t="shared" si="296"/>
        <v>0.26310097893521017</v>
      </c>
      <c r="AF923" s="28"/>
      <c r="AG923" s="11"/>
    </row>
    <row r="924" spans="1:33">
      <c r="A924" s="20"/>
      <c r="B924" s="24" t="s">
        <v>139</v>
      </c>
      <c r="C924" s="11"/>
      <c r="D924" t="s">
        <v>110</v>
      </c>
      <c r="G924" s="27"/>
      <c r="H924" s="24" t="s">
        <v>900</v>
      </c>
      <c r="K924" t="s">
        <v>853</v>
      </c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8"/>
      <c r="AG924" s="11"/>
    </row>
    <row r="925" spans="1:33">
      <c r="A925" s="100" t="s">
        <v>836</v>
      </c>
      <c r="B925" s="5"/>
      <c r="C925" s="11"/>
      <c r="G925" s="19">
        <f>SUM(H925:AE925)/48</f>
        <v>7.9310474355429122E-2</v>
      </c>
      <c r="H925" s="2">
        <f>H923^2/H919</f>
        <v>9.1659849862628304E-3</v>
      </c>
      <c r="I925" s="2">
        <f t="shared" ref="I925:AE925" si="297">I923^2/I919</f>
        <v>3.7480473198910041E-2</v>
      </c>
      <c r="J925" s="2">
        <f t="shared" si="297"/>
        <v>6.9994825840131961E-2</v>
      </c>
      <c r="K925" s="2">
        <f t="shared" si="297"/>
        <v>0.10258071109810556</v>
      </c>
      <c r="L925" s="2">
        <f t="shared" si="297"/>
        <v>0.13376665464466947</v>
      </c>
      <c r="M925" s="2">
        <f t="shared" si="297"/>
        <v>0.16321216643467482</v>
      </c>
      <c r="N925" s="2">
        <f t="shared" si="297"/>
        <v>0.18902268112725507</v>
      </c>
      <c r="O925" s="2">
        <f t="shared" si="297"/>
        <v>0.21123485762743593</v>
      </c>
      <c r="P925" s="2">
        <f t="shared" si="297"/>
        <v>0.22982980816839027</v>
      </c>
      <c r="Q925" s="2">
        <f t="shared" si="297"/>
        <v>0.24428997974590871</v>
      </c>
      <c r="R925" s="2">
        <f t="shared" si="297"/>
        <v>0.25408857226759135</v>
      </c>
      <c r="S925" s="2">
        <f t="shared" si="297"/>
        <v>0.2587846693909629</v>
      </c>
      <c r="T925" s="2">
        <f t="shared" si="297"/>
        <v>0.2587846693909629</v>
      </c>
      <c r="U925" s="2">
        <f t="shared" si="297"/>
        <v>0.25408857226759135</v>
      </c>
      <c r="V925" s="2">
        <f t="shared" si="297"/>
        <v>0.24428997974590871</v>
      </c>
      <c r="W925" s="2">
        <f t="shared" si="297"/>
        <v>0.22982980816839027</v>
      </c>
      <c r="X925" s="2">
        <f t="shared" si="297"/>
        <v>0.21123485762743593</v>
      </c>
      <c r="Y925" s="2">
        <f t="shared" si="297"/>
        <v>0.18902268112725507</v>
      </c>
      <c r="Z925" s="2">
        <f t="shared" si="297"/>
        <v>0.16321216643467482</v>
      </c>
      <c r="AA925" s="2">
        <f t="shared" si="297"/>
        <v>0.13376665464466947</v>
      </c>
      <c r="AB925" s="2">
        <f t="shared" si="297"/>
        <v>0.10258071109810556</v>
      </c>
      <c r="AC925" s="2">
        <f t="shared" si="297"/>
        <v>6.9994825840131961E-2</v>
      </c>
      <c r="AD925" s="2">
        <f t="shared" si="297"/>
        <v>3.7480473198910041E-2</v>
      </c>
      <c r="AE925" s="2">
        <f t="shared" si="297"/>
        <v>9.1659849862628304E-3</v>
      </c>
      <c r="AF925" s="28"/>
      <c r="AG925" s="11"/>
    </row>
    <row r="926" spans="1:33">
      <c r="A926" s="100"/>
      <c r="B926" s="24" t="s">
        <v>140</v>
      </c>
      <c r="C926" s="11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8"/>
      <c r="AG926" s="11"/>
    </row>
    <row r="927" spans="1:33">
      <c r="A927" s="20" t="s">
        <v>901</v>
      </c>
      <c r="B927" s="11"/>
      <c r="C927" s="11"/>
      <c r="D927" s="24"/>
      <c r="E927" s="27"/>
      <c r="F927" s="6"/>
      <c r="G927" s="19">
        <f>SUM(H927:AE927)/24</f>
        <v>264.77650940590888</v>
      </c>
      <c r="H927" s="2">
        <f>$M$9*($F$7+273)^4*(1-$H$833)</f>
        <v>264.77650940590894</v>
      </c>
      <c r="I927" s="2">
        <f t="shared" ref="I927:AE927" si="298">$M$9*($F$7+273)^4*(1-$H$833)</f>
        <v>264.77650940590894</v>
      </c>
      <c r="J927" s="2">
        <f t="shared" si="298"/>
        <v>264.77650940590894</v>
      </c>
      <c r="K927" s="2">
        <f t="shared" si="298"/>
        <v>264.77650940590894</v>
      </c>
      <c r="L927" s="2">
        <f t="shared" si="298"/>
        <v>264.77650940590894</v>
      </c>
      <c r="M927" s="2">
        <f t="shared" si="298"/>
        <v>264.77650940590894</v>
      </c>
      <c r="N927" s="2">
        <f t="shared" si="298"/>
        <v>264.77650940590894</v>
      </c>
      <c r="O927" s="2">
        <f t="shared" si="298"/>
        <v>264.77650940590894</v>
      </c>
      <c r="P927" s="2">
        <f t="shared" si="298"/>
        <v>264.77650940590894</v>
      </c>
      <c r="Q927" s="2">
        <f t="shared" si="298"/>
        <v>264.77650940590894</v>
      </c>
      <c r="R927" s="2">
        <f t="shared" si="298"/>
        <v>264.77650940590894</v>
      </c>
      <c r="S927" s="2">
        <f t="shared" si="298"/>
        <v>264.77650940590894</v>
      </c>
      <c r="T927" s="2">
        <f t="shared" si="298"/>
        <v>264.77650940590894</v>
      </c>
      <c r="U927" s="2">
        <f t="shared" si="298"/>
        <v>264.77650940590894</v>
      </c>
      <c r="V927" s="2">
        <f t="shared" si="298"/>
        <v>264.77650940590894</v>
      </c>
      <c r="W927" s="2">
        <f t="shared" si="298"/>
        <v>264.77650940590894</v>
      </c>
      <c r="X927" s="2">
        <f t="shared" si="298"/>
        <v>264.77650940590894</v>
      </c>
      <c r="Y927" s="2">
        <f t="shared" si="298"/>
        <v>264.77650940590894</v>
      </c>
      <c r="Z927" s="2">
        <f t="shared" si="298"/>
        <v>264.77650940590894</v>
      </c>
      <c r="AA927" s="2">
        <f t="shared" si="298"/>
        <v>264.77650940590894</v>
      </c>
      <c r="AB927" s="2">
        <f t="shared" si="298"/>
        <v>264.77650940590894</v>
      </c>
      <c r="AC927" s="2">
        <f t="shared" si="298"/>
        <v>264.77650940590894</v>
      </c>
      <c r="AD927" s="2">
        <f t="shared" si="298"/>
        <v>264.77650940590894</v>
      </c>
      <c r="AE927" s="2">
        <f t="shared" si="298"/>
        <v>264.77650940590894</v>
      </c>
      <c r="AF927" s="28"/>
      <c r="AG927" s="11"/>
    </row>
    <row r="928" spans="1:33">
      <c r="A928" s="14"/>
      <c r="B928" s="5" t="s">
        <v>120</v>
      </c>
      <c r="D928" t="s">
        <v>1056</v>
      </c>
      <c r="E928" s="12"/>
      <c r="F928" s="6"/>
      <c r="G928" s="2"/>
      <c r="H928" s="2" t="s">
        <v>121</v>
      </c>
      <c r="J928" s="10"/>
      <c r="K928" s="9"/>
      <c r="AF928" s="2"/>
    </row>
    <row r="929" spans="1:33">
      <c r="A929" s="20" t="s">
        <v>914</v>
      </c>
      <c r="B929" s="11"/>
      <c r="C929" s="11"/>
      <c r="D929" s="11"/>
      <c r="E929" s="27"/>
      <c r="F929" s="6"/>
      <c r="G929" s="19">
        <f>SUM(H929:AE929)/24</f>
        <v>12.551783676120003</v>
      </c>
      <c r="H929" s="24">
        <f t="shared" ref="H929:AE929" si="299">$M$9*($F$9+273)^4*$F$11*$H$18</f>
        <v>12.551783676119999</v>
      </c>
      <c r="I929" s="24">
        <f t="shared" si="299"/>
        <v>12.551783676119999</v>
      </c>
      <c r="J929" s="24">
        <f t="shared" si="299"/>
        <v>12.551783676119999</v>
      </c>
      <c r="K929" s="24">
        <f t="shared" si="299"/>
        <v>12.551783676119999</v>
      </c>
      <c r="L929" s="24">
        <f t="shared" si="299"/>
        <v>12.551783676119999</v>
      </c>
      <c r="M929" s="24">
        <f t="shared" si="299"/>
        <v>12.551783676119999</v>
      </c>
      <c r="N929" s="24">
        <f t="shared" si="299"/>
        <v>12.551783676119999</v>
      </c>
      <c r="O929" s="24">
        <f t="shared" si="299"/>
        <v>12.551783676119999</v>
      </c>
      <c r="P929" s="24">
        <f t="shared" si="299"/>
        <v>12.551783676119999</v>
      </c>
      <c r="Q929" s="24">
        <f t="shared" si="299"/>
        <v>12.551783676119999</v>
      </c>
      <c r="R929" s="24">
        <f t="shared" si="299"/>
        <v>12.551783676119999</v>
      </c>
      <c r="S929" s="24">
        <f t="shared" si="299"/>
        <v>12.551783676119999</v>
      </c>
      <c r="T929" s="24">
        <f t="shared" si="299"/>
        <v>12.551783676119999</v>
      </c>
      <c r="U929" s="24">
        <f t="shared" si="299"/>
        <v>12.551783676119999</v>
      </c>
      <c r="V929" s="24">
        <f t="shared" si="299"/>
        <v>12.551783676119999</v>
      </c>
      <c r="W929" s="24">
        <f t="shared" si="299"/>
        <v>12.551783676119999</v>
      </c>
      <c r="X929" s="24">
        <f t="shared" si="299"/>
        <v>12.551783676119999</v>
      </c>
      <c r="Y929" s="24">
        <f t="shared" si="299"/>
        <v>12.551783676119999</v>
      </c>
      <c r="Z929" s="24">
        <f t="shared" si="299"/>
        <v>12.551783676119999</v>
      </c>
      <c r="AA929" s="24">
        <f t="shared" si="299"/>
        <v>12.551783676119999</v>
      </c>
      <c r="AB929" s="24">
        <f t="shared" si="299"/>
        <v>12.551783676119999</v>
      </c>
      <c r="AC929" s="24">
        <f t="shared" si="299"/>
        <v>12.551783676119999</v>
      </c>
      <c r="AD929" s="24">
        <f t="shared" si="299"/>
        <v>12.551783676119999</v>
      </c>
      <c r="AE929" s="24">
        <f t="shared" si="299"/>
        <v>12.551783676119999</v>
      </c>
      <c r="AF929" s="28"/>
      <c r="AG929" s="11"/>
    </row>
    <row r="930" spans="1:33">
      <c r="A930" s="20"/>
      <c r="B930" s="5" t="s">
        <v>272</v>
      </c>
      <c r="C930" s="11"/>
      <c r="D930" t="s">
        <v>743</v>
      </c>
      <c r="E930" s="27"/>
      <c r="F930" s="6"/>
      <c r="G930" s="28"/>
      <c r="H930" t="s">
        <v>717</v>
      </c>
      <c r="I930" s="29"/>
      <c r="J930" s="11"/>
      <c r="K930" s="2" t="s">
        <v>273</v>
      </c>
      <c r="L930" s="11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11"/>
    </row>
    <row r="931" spans="1:33">
      <c r="A931" s="20"/>
      <c r="B931" s="27" t="s">
        <v>925</v>
      </c>
      <c r="C931" s="11" t="s">
        <v>266</v>
      </c>
      <c r="E931" s="27"/>
      <c r="F931" s="6"/>
      <c r="G931" s="28"/>
      <c r="I931" s="29"/>
      <c r="J931" s="11"/>
      <c r="K931" s="2"/>
      <c r="L931" s="11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11"/>
    </row>
    <row r="932" spans="1:33">
      <c r="A932" s="20"/>
      <c r="B932" s="14"/>
      <c r="C932" t="s">
        <v>274</v>
      </c>
      <c r="E932" s="27"/>
      <c r="F932" s="6"/>
      <c r="G932" s="28"/>
      <c r="I932" s="29"/>
      <c r="J932" s="11"/>
      <c r="K932" s="2"/>
      <c r="L932" s="11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11"/>
    </row>
    <row r="933" spans="1:33">
      <c r="A933" s="20"/>
      <c r="B933" s="16" t="s">
        <v>334</v>
      </c>
      <c r="C933" s="11"/>
      <c r="D933" s="11"/>
      <c r="E933" s="21"/>
      <c r="F933" s="21"/>
      <c r="G933" s="82">
        <f>G913+G919+G923+G925+G927+G929</f>
        <v>359.06226602965307</v>
      </c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8"/>
      <c r="AG933" s="11"/>
    </row>
    <row r="934" spans="1:33">
      <c r="A934" s="20"/>
      <c r="B934" s="16" t="s">
        <v>730</v>
      </c>
      <c r="C934" s="11"/>
      <c r="D934" s="11"/>
      <c r="E934" s="21"/>
      <c r="F934" s="21"/>
      <c r="G934" s="82">
        <f>G910-G933</f>
        <v>13.842390302872275</v>
      </c>
      <c r="H934" s="24"/>
      <c r="I934" s="32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8"/>
      <c r="AG934" s="11"/>
    </row>
    <row r="935" spans="1:33">
      <c r="A935" s="3"/>
      <c r="B935" s="16"/>
      <c r="C935" s="11"/>
      <c r="D935" s="11"/>
      <c r="E935" s="27"/>
      <c r="F935" s="6"/>
      <c r="G935" s="32"/>
      <c r="I935" s="29"/>
      <c r="J935" s="28"/>
      <c r="K935" s="11"/>
      <c r="L935" s="11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11"/>
    </row>
    <row r="936" spans="1:33"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3" ht="18.75">
      <c r="A937" s="85" t="s">
        <v>513</v>
      </c>
      <c r="B937" s="30" t="s">
        <v>609</v>
      </c>
      <c r="H937" s="4" t="s">
        <v>484</v>
      </c>
      <c r="I937" s="4" t="s">
        <v>486</v>
      </c>
      <c r="J937" s="4" t="s">
        <v>485</v>
      </c>
      <c r="K937" s="4" t="s">
        <v>487</v>
      </c>
      <c r="L937" s="4" t="s">
        <v>488</v>
      </c>
      <c r="M937" s="4" t="s">
        <v>489</v>
      </c>
      <c r="N937" s="4" t="s">
        <v>490</v>
      </c>
      <c r="O937" s="4" t="s">
        <v>491</v>
      </c>
      <c r="P937" s="4" t="s">
        <v>494</v>
      </c>
      <c r="Q937" s="4" t="s">
        <v>492</v>
      </c>
      <c r="R937" s="4" t="s">
        <v>495</v>
      </c>
      <c r="S937" s="4" t="s">
        <v>493</v>
      </c>
      <c r="T937" s="4" t="s">
        <v>515</v>
      </c>
      <c r="U937" s="4" t="s">
        <v>517</v>
      </c>
      <c r="V937" s="4" t="s">
        <v>518</v>
      </c>
      <c r="W937" s="4" t="s">
        <v>516</v>
      </c>
      <c r="X937" s="4" t="s">
        <v>519</v>
      </c>
      <c r="Y937" s="4" t="s">
        <v>520</v>
      </c>
      <c r="Z937" s="4" t="s">
        <v>521</v>
      </c>
      <c r="AA937" s="4" t="s">
        <v>522</v>
      </c>
      <c r="AB937" s="4" t="s">
        <v>523</v>
      </c>
      <c r="AC937" s="4" t="s">
        <v>524</v>
      </c>
      <c r="AD937" s="4" t="s">
        <v>525</v>
      </c>
      <c r="AE937" s="4" t="s">
        <v>526</v>
      </c>
      <c r="AF937" s="2"/>
    </row>
    <row r="938" spans="1:33">
      <c r="A938" s="3" t="s">
        <v>722</v>
      </c>
      <c r="G938" t="s">
        <v>535</v>
      </c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2"/>
    </row>
    <row r="939" spans="1:33">
      <c r="A939" t="s">
        <v>561</v>
      </c>
      <c r="B939" s="11"/>
      <c r="C939" s="11"/>
      <c r="D939" s="5" t="s">
        <v>141</v>
      </c>
      <c r="E939" s="12"/>
      <c r="F939" s="6"/>
      <c r="G939" s="2">
        <f>SUM(H939:AE939)/48</f>
        <v>75.494746664323955</v>
      </c>
      <c r="H939" s="2">
        <f>H$70</f>
        <v>14.314928886907998</v>
      </c>
      <c r="I939" s="2">
        <f t="shared" ref="I939:AE939" si="300">I$70</f>
        <v>45.323128857115414</v>
      </c>
      <c r="J939" s="2">
        <f t="shared" si="300"/>
        <v>75.593343409821259</v>
      </c>
      <c r="K939" s="2">
        <f t="shared" si="300"/>
        <v>104.39913839929589</v>
      </c>
      <c r="L939" s="2">
        <f t="shared" si="300"/>
        <v>131.49611191081414</v>
      </c>
      <c r="M939" s="2">
        <f t="shared" si="300"/>
        <v>156.17102515167278</v>
      </c>
      <c r="N939" s="2">
        <f t="shared" si="300"/>
        <v>178.4293047648105</v>
      </c>
      <c r="O939" s="2">
        <f t="shared" si="300"/>
        <v>197.33492676833038</v>
      </c>
      <c r="P939" s="2">
        <f t="shared" si="300"/>
        <v>213.13893709002286</v>
      </c>
      <c r="Q939" s="2">
        <f t="shared" si="300"/>
        <v>225.14943459894513</v>
      </c>
      <c r="R939" s="2">
        <f t="shared" si="300"/>
        <v>233.14658123534468</v>
      </c>
      <c r="S939" s="2">
        <f t="shared" si="300"/>
        <v>237.37705887069376</v>
      </c>
      <c r="T939" s="2">
        <f t="shared" si="300"/>
        <v>237.37705887069376</v>
      </c>
      <c r="U939" s="2">
        <f t="shared" si="300"/>
        <v>233.14658123534468</v>
      </c>
      <c r="V939" s="2">
        <f t="shared" si="300"/>
        <v>225.14943459894513</v>
      </c>
      <c r="W939" s="2">
        <f t="shared" si="300"/>
        <v>213.13893709002286</v>
      </c>
      <c r="X939" s="2">
        <f t="shared" si="300"/>
        <v>197.33492676833038</v>
      </c>
      <c r="Y939" s="2">
        <f t="shared" si="300"/>
        <v>178.4293047648105</v>
      </c>
      <c r="Z939" s="2">
        <f t="shared" si="300"/>
        <v>156.17102515167278</v>
      </c>
      <c r="AA939" s="2">
        <f t="shared" si="300"/>
        <v>131.49611191081414</v>
      </c>
      <c r="AB939" s="2">
        <f t="shared" si="300"/>
        <v>104.39913839929589</v>
      </c>
      <c r="AC939" s="2">
        <f t="shared" si="300"/>
        <v>75.593343409821259</v>
      </c>
      <c r="AD939" s="2">
        <f t="shared" si="300"/>
        <v>45.323128857115414</v>
      </c>
      <c r="AE939" s="2">
        <f t="shared" si="300"/>
        <v>14.314928886907998</v>
      </c>
      <c r="AF939" s="2"/>
    </row>
    <row r="940" spans="1:33">
      <c r="A940" s="20" t="s">
        <v>824</v>
      </c>
      <c r="B940" s="11"/>
      <c r="C940" s="11"/>
      <c r="D940" t="s">
        <v>143</v>
      </c>
      <c r="E940" s="12"/>
      <c r="F940" s="18"/>
      <c r="G940" s="19">
        <f>SUM(H940:AE940)/48</f>
        <v>52.846322665026754</v>
      </c>
      <c r="H940" s="2">
        <f>H$70*$V$20</f>
        <v>10.020450220835597</v>
      </c>
      <c r="I940" s="2">
        <f t="shared" ref="I940:AE940" si="301">I$70*$V$20</f>
        <v>31.726190199980788</v>
      </c>
      <c r="J940" s="2">
        <f t="shared" si="301"/>
        <v>52.915340386874881</v>
      </c>
      <c r="K940" s="2">
        <f t="shared" si="301"/>
        <v>73.079396879507115</v>
      </c>
      <c r="L940" s="2">
        <f t="shared" si="301"/>
        <v>92.047278337569892</v>
      </c>
      <c r="M940" s="2">
        <f t="shared" si="301"/>
        <v>109.31971760617094</v>
      </c>
      <c r="N940" s="2">
        <f t="shared" si="301"/>
        <v>124.90051333536734</v>
      </c>
      <c r="O940" s="2">
        <f t="shared" si="301"/>
        <v>138.13444873783126</v>
      </c>
      <c r="P940" s="2">
        <f t="shared" si="301"/>
        <v>149.197255963016</v>
      </c>
      <c r="Q940" s="2">
        <f t="shared" si="301"/>
        <v>157.60460421926157</v>
      </c>
      <c r="R940" s="2">
        <f t="shared" si="301"/>
        <v>163.20260686474126</v>
      </c>
      <c r="S940" s="2">
        <f t="shared" si="301"/>
        <v>166.16394120948561</v>
      </c>
      <c r="T940" s="2">
        <f t="shared" si="301"/>
        <v>166.16394120948561</v>
      </c>
      <c r="U940" s="2">
        <f t="shared" si="301"/>
        <v>163.20260686474126</v>
      </c>
      <c r="V940" s="2">
        <f t="shared" si="301"/>
        <v>157.60460421926157</v>
      </c>
      <c r="W940" s="2">
        <f t="shared" si="301"/>
        <v>149.197255963016</v>
      </c>
      <c r="X940" s="2">
        <f t="shared" si="301"/>
        <v>138.13444873783126</v>
      </c>
      <c r="Y940" s="2">
        <f t="shared" si="301"/>
        <v>124.90051333536734</v>
      </c>
      <c r="Z940" s="2">
        <f t="shared" si="301"/>
        <v>109.31971760617094</v>
      </c>
      <c r="AA940" s="2">
        <f t="shared" si="301"/>
        <v>92.047278337569892</v>
      </c>
      <c r="AB940" s="2">
        <f t="shared" si="301"/>
        <v>73.079396879507115</v>
      </c>
      <c r="AC940" s="2">
        <f t="shared" si="301"/>
        <v>52.915340386874881</v>
      </c>
      <c r="AD940" s="2">
        <f t="shared" si="301"/>
        <v>31.726190199980788</v>
      </c>
      <c r="AE940" s="2">
        <f t="shared" si="301"/>
        <v>10.020450220835597</v>
      </c>
      <c r="AF940" s="2"/>
    </row>
    <row r="941" spans="1:33">
      <c r="A941" s="20"/>
      <c r="B941" s="5" t="s">
        <v>145</v>
      </c>
      <c r="C941" s="11"/>
      <c r="D941" t="s">
        <v>144</v>
      </c>
      <c r="E941" s="12"/>
      <c r="F941" s="18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3">
      <c r="A942" s="20" t="s">
        <v>825</v>
      </c>
      <c r="D942" t="s">
        <v>142</v>
      </c>
      <c r="G942" s="19">
        <f>SUM(H942:AE942)/24</f>
        <v>294.0451576320001</v>
      </c>
      <c r="H942" s="2">
        <f>$V$24</f>
        <v>294.04515763199998</v>
      </c>
      <c r="I942" s="2">
        <f t="shared" ref="I942:AE942" si="302">$V$24</f>
        <v>294.04515763199998</v>
      </c>
      <c r="J942" s="2">
        <f t="shared" si="302"/>
        <v>294.04515763199998</v>
      </c>
      <c r="K942" s="2">
        <f t="shared" si="302"/>
        <v>294.04515763199998</v>
      </c>
      <c r="L942" s="2">
        <f t="shared" si="302"/>
        <v>294.04515763199998</v>
      </c>
      <c r="M942" s="2">
        <f t="shared" si="302"/>
        <v>294.04515763199998</v>
      </c>
      <c r="N942" s="2">
        <f t="shared" si="302"/>
        <v>294.04515763199998</v>
      </c>
      <c r="O942" s="2">
        <f t="shared" si="302"/>
        <v>294.04515763199998</v>
      </c>
      <c r="P942" s="2">
        <f t="shared" si="302"/>
        <v>294.04515763199998</v>
      </c>
      <c r="Q942" s="2">
        <f t="shared" si="302"/>
        <v>294.04515763199998</v>
      </c>
      <c r="R942" s="2">
        <f t="shared" si="302"/>
        <v>294.04515763199998</v>
      </c>
      <c r="S942" s="2">
        <f t="shared" si="302"/>
        <v>294.04515763199998</v>
      </c>
      <c r="T942" s="2">
        <f t="shared" si="302"/>
        <v>294.04515763199998</v>
      </c>
      <c r="U942" s="2">
        <f t="shared" si="302"/>
        <v>294.04515763199998</v>
      </c>
      <c r="V942" s="2">
        <f t="shared" si="302"/>
        <v>294.04515763199998</v>
      </c>
      <c r="W942" s="2">
        <f t="shared" si="302"/>
        <v>294.04515763199998</v>
      </c>
      <c r="X942" s="2">
        <f t="shared" si="302"/>
        <v>294.04515763199998</v>
      </c>
      <c r="Y942" s="2">
        <f t="shared" si="302"/>
        <v>294.04515763199998</v>
      </c>
      <c r="Z942" s="2">
        <f t="shared" si="302"/>
        <v>294.04515763199998</v>
      </c>
      <c r="AA942" s="2">
        <f t="shared" si="302"/>
        <v>294.04515763199998</v>
      </c>
      <c r="AB942" s="2">
        <f t="shared" si="302"/>
        <v>294.04515763199998</v>
      </c>
      <c r="AC942" s="2">
        <f t="shared" si="302"/>
        <v>294.04515763199998</v>
      </c>
      <c r="AD942" s="2">
        <f t="shared" si="302"/>
        <v>294.04515763199998</v>
      </c>
      <c r="AE942" s="2">
        <f t="shared" si="302"/>
        <v>294.04515763199998</v>
      </c>
      <c r="AF942" s="2"/>
    </row>
    <row r="943" spans="1:33">
      <c r="A943" s="20"/>
      <c r="B943" s="16" t="s">
        <v>720</v>
      </c>
      <c r="G943" s="32">
        <f>G940+G942</f>
        <v>346.89148029702687</v>
      </c>
      <c r="H943" s="3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3">
      <c r="A944" s="39" t="s">
        <v>513</v>
      </c>
      <c r="B944" s="16"/>
      <c r="F944" s="12"/>
      <c r="G944" s="32"/>
      <c r="H944" s="3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3">
      <c r="A945" s="3" t="s">
        <v>322</v>
      </c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3" s="27" customFormat="1">
      <c r="A946" s="27" t="s">
        <v>1031</v>
      </c>
      <c r="G946" s="55"/>
      <c r="H946" s="101">
        <f ca="1">Tabelle3!D$47</f>
        <v>0.98625765334543836</v>
      </c>
      <c r="I946" s="101">
        <f ca="1">Tabelle3!E$47</f>
        <v>0.78491854018089668</v>
      </c>
      <c r="J946" s="101">
        <f ca="1">Tabelle3!F$47</f>
        <v>0.6004307908008274</v>
      </c>
      <c r="K946" s="101">
        <f ca="1">Tabelle3!G$47</f>
        <v>0.49008920394292926</v>
      </c>
      <c r="L946" s="101">
        <f ca="1">Tabelle3!H$47</f>
        <v>0.40937165512515317</v>
      </c>
      <c r="M946" s="101">
        <f ca="1">Tabelle3!I$47</f>
        <v>0.36376697448010242</v>
      </c>
      <c r="N946" s="101">
        <f ca="1">Tabelle3!J$47</f>
        <v>0.32714589352687506</v>
      </c>
      <c r="O946" s="101">
        <f ca="1">Tabelle3!K$47</f>
        <v>0.30356170556671885</v>
      </c>
      <c r="P946" s="101">
        <f ca="1">Tabelle3!L$47</f>
        <v>0.28380994815008814</v>
      </c>
      <c r="Q946" s="101">
        <f ca="1">Tabelle3!M$47</f>
        <v>0.26877502832548861</v>
      </c>
      <c r="R946" s="101">
        <f ca="1">Tabelle3!N$47</f>
        <v>0.25875174844242227</v>
      </c>
      <c r="S946" s="101">
        <f ca="1">Tabelle3!O$47</f>
        <v>0.25344530615138711</v>
      </c>
      <c r="T946" s="101">
        <f ca="1">Tabelle3!P$47</f>
        <v>0.25344530615138711</v>
      </c>
      <c r="U946" s="101">
        <f ca="1">Tabelle3!Q$47</f>
        <v>0.25875174844242227</v>
      </c>
      <c r="V946" s="101">
        <f ca="1">Tabelle3!R$47</f>
        <v>0.26877502832548861</v>
      </c>
      <c r="W946" s="101">
        <f ca="1">Tabelle3!S$47</f>
        <v>0.28380994815008814</v>
      </c>
      <c r="X946" s="101">
        <f ca="1">Tabelle3!T$47</f>
        <v>0.30356170556671885</v>
      </c>
      <c r="Y946" s="101">
        <f ca="1">Tabelle3!U$47</f>
        <v>0.32714589352687506</v>
      </c>
      <c r="Z946" s="101">
        <f ca="1">Tabelle3!V$47</f>
        <v>0.36376697448010242</v>
      </c>
      <c r="AA946" s="101">
        <f ca="1">Tabelle3!W$47</f>
        <v>0.40937165512515317</v>
      </c>
      <c r="AB946" s="101">
        <f ca="1">Tabelle3!X$47</f>
        <v>0.49008920394292926</v>
      </c>
      <c r="AC946" s="101">
        <f ca="1">Tabelle3!Y$47</f>
        <v>0.6004307908008274</v>
      </c>
      <c r="AD946" s="101">
        <f ca="1">Tabelle3!Z$47</f>
        <v>0.78491854018089668</v>
      </c>
      <c r="AE946" s="101">
        <f ca="1">Tabelle3!AA$47</f>
        <v>0.98625765334543836</v>
      </c>
      <c r="AF946" s="55"/>
    </row>
    <row r="947" spans="1:33" s="27" customFormat="1">
      <c r="A947" s="27" t="s">
        <v>830</v>
      </c>
      <c r="F947" s="10">
        <f ca="1">Tabelle3!N$80</f>
        <v>1.9907587298357079</v>
      </c>
      <c r="H947" s="107">
        <f ca="1">$F$11*$F$142</f>
        <v>9.9537936491785398E-2</v>
      </c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55"/>
    </row>
    <row r="948" spans="1:33" ht="15" customHeight="1">
      <c r="A948" s="3" t="s">
        <v>831</v>
      </c>
      <c r="B948" s="11"/>
      <c r="C948" s="11"/>
      <c r="D948" s="11"/>
      <c r="E948" s="27"/>
      <c r="F948" s="6"/>
      <c r="G948" s="19">
        <f>SUM(H948:AE948)/48</f>
        <v>12.847035431658684</v>
      </c>
      <c r="H948" s="24">
        <f>H$70*H$946*$F$16</f>
        <v>7.0591040859043552</v>
      </c>
      <c r="I948" s="24">
        <f t="shared" ref="I948:AE948" si="303">I$70*I$946*$F$16</f>
        <v>17.787482069478852</v>
      </c>
      <c r="J948" s="24">
        <f t="shared" si="303"/>
        <v>22.694285481418746</v>
      </c>
      <c r="K948" s="24">
        <f t="shared" si="303"/>
        <v>25.58244531521931</v>
      </c>
      <c r="L948" s="24">
        <f t="shared" si="303"/>
        <v>26.915390487726174</v>
      </c>
      <c r="M948" s="24">
        <f t="shared" si="303"/>
        <v>28.404930660439994</v>
      </c>
      <c r="N948" s="24">
        <f t="shared" si="303"/>
        <v>29.186207169331517</v>
      </c>
      <c r="O948" s="24">
        <f t="shared" si="303"/>
        <v>29.951663468838966</v>
      </c>
      <c r="P948" s="24">
        <f t="shared" si="303"/>
        <v>30.245475342142143</v>
      </c>
      <c r="Q948" s="24">
        <f t="shared" si="303"/>
        <v>30.257272830899613</v>
      </c>
      <c r="R948" s="24">
        <f t="shared" si="303"/>
        <v>30.163542769009339</v>
      </c>
      <c r="S948" s="24">
        <f t="shared" si="303"/>
        <v>30.081050679399411</v>
      </c>
      <c r="T948" s="24">
        <f t="shared" si="303"/>
        <v>30.081050679399411</v>
      </c>
      <c r="U948" s="24">
        <f t="shared" si="303"/>
        <v>30.163542769009339</v>
      </c>
      <c r="V948" s="24">
        <f t="shared" si="303"/>
        <v>30.257272830899613</v>
      </c>
      <c r="W948" s="24">
        <f t="shared" si="303"/>
        <v>30.245475342142143</v>
      </c>
      <c r="X948" s="24">
        <f t="shared" si="303"/>
        <v>29.951663468838966</v>
      </c>
      <c r="Y948" s="24">
        <f t="shared" si="303"/>
        <v>29.186207169331517</v>
      </c>
      <c r="Z948" s="24">
        <f t="shared" si="303"/>
        <v>28.404930660439994</v>
      </c>
      <c r="AA948" s="24">
        <f t="shared" si="303"/>
        <v>26.915390487726174</v>
      </c>
      <c r="AB948" s="24">
        <f t="shared" si="303"/>
        <v>25.58244531521931</v>
      </c>
      <c r="AC948" s="24">
        <f t="shared" si="303"/>
        <v>22.694285481418746</v>
      </c>
      <c r="AD948" s="24">
        <f t="shared" si="303"/>
        <v>17.787482069478852</v>
      </c>
      <c r="AE948" s="24">
        <f t="shared" si="303"/>
        <v>7.0591040859043552</v>
      </c>
      <c r="AF948" s="28"/>
      <c r="AG948" s="11"/>
    </row>
    <row r="949" spans="1:33">
      <c r="A949" s="3"/>
      <c r="B949" s="5" t="s">
        <v>146</v>
      </c>
      <c r="C949" s="11"/>
      <c r="D949" t="s">
        <v>147</v>
      </c>
      <c r="F949" s="27"/>
      <c r="G949" t="s">
        <v>854</v>
      </c>
      <c r="I949" s="2"/>
      <c r="K949" s="2"/>
      <c r="M949" s="2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11"/>
    </row>
    <row r="950" spans="1:33">
      <c r="A950" s="3"/>
      <c r="C950" s="11"/>
      <c r="D950" s="2" t="s">
        <v>148</v>
      </c>
      <c r="F950" s="27"/>
      <c r="G950" s="2"/>
      <c r="I950" s="2"/>
      <c r="K950" s="2"/>
      <c r="M950" s="2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11"/>
    </row>
    <row r="951" spans="1:33">
      <c r="A951" t="s">
        <v>879</v>
      </c>
      <c r="C951" s="11"/>
      <c r="G951" s="98">
        <f>SUM(H951:AE951)/48</f>
        <v>62.390770524032099</v>
      </c>
      <c r="H951" s="97">
        <f>H$70*(1-($F$16+$F$13)*H$946)</f>
        <v>7.1146427192855564</v>
      </c>
      <c r="I951" s="97">
        <f t="shared" ref="I951:AE951" si="304">I$70*(1-($F$16+$F$13)*I$946)</f>
        <v>27.179897146246983</v>
      </c>
      <c r="J951" s="97">
        <f t="shared" si="304"/>
        <v>52.44517221877414</v>
      </c>
      <c r="K951" s="97">
        <f t="shared" si="304"/>
        <v>78.305044177772189</v>
      </c>
      <c r="L951" s="97">
        <f t="shared" si="304"/>
        <v>104.04241361333344</v>
      </c>
      <c r="M951" s="97">
        <f t="shared" si="304"/>
        <v>127.19799587802397</v>
      </c>
      <c r="N951" s="97">
        <f t="shared" si="304"/>
        <v>148.65937345209235</v>
      </c>
      <c r="O951" s="97">
        <f t="shared" si="304"/>
        <v>166.78423003011463</v>
      </c>
      <c r="P951" s="97">
        <f t="shared" si="304"/>
        <v>182.28855224103788</v>
      </c>
      <c r="Q951" s="97">
        <f t="shared" si="304"/>
        <v>194.28701631142755</v>
      </c>
      <c r="R951" s="97">
        <f t="shared" si="304"/>
        <v>202.37976761095516</v>
      </c>
      <c r="S951" s="97">
        <f t="shared" si="304"/>
        <v>206.69438717770637</v>
      </c>
      <c r="T951" s="97">
        <f t="shared" si="304"/>
        <v>206.69438717770637</v>
      </c>
      <c r="U951" s="97">
        <f t="shared" si="304"/>
        <v>202.37976761095516</v>
      </c>
      <c r="V951" s="97">
        <f t="shared" si="304"/>
        <v>194.28701631142755</v>
      </c>
      <c r="W951" s="97">
        <f t="shared" si="304"/>
        <v>182.28855224103788</v>
      </c>
      <c r="X951" s="97">
        <f t="shared" si="304"/>
        <v>166.78423003011463</v>
      </c>
      <c r="Y951" s="97">
        <f t="shared" si="304"/>
        <v>148.65937345209235</v>
      </c>
      <c r="Z951" s="97">
        <f t="shared" si="304"/>
        <v>127.19799587802397</v>
      </c>
      <c r="AA951" s="97">
        <f t="shared" si="304"/>
        <v>104.04241361333344</v>
      </c>
      <c r="AB951" s="97">
        <f t="shared" si="304"/>
        <v>78.305044177772189</v>
      </c>
      <c r="AC951" s="97">
        <f t="shared" si="304"/>
        <v>52.44517221877414</v>
      </c>
      <c r="AD951" s="97">
        <f t="shared" si="304"/>
        <v>27.179897146246983</v>
      </c>
      <c r="AE951" s="97">
        <f t="shared" si="304"/>
        <v>7.1146427192855564</v>
      </c>
      <c r="AF951" s="28"/>
      <c r="AG951" s="11"/>
    </row>
    <row r="952" spans="1:33">
      <c r="B952" s="24" t="s">
        <v>150</v>
      </c>
      <c r="D952" s="2" t="s">
        <v>149</v>
      </c>
      <c r="E952" s="24" t="s">
        <v>900</v>
      </c>
      <c r="H952" t="s">
        <v>853</v>
      </c>
      <c r="AF952" s="28"/>
      <c r="AG952" s="11"/>
    </row>
    <row r="953" spans="1:33">
      <c r="A953" t="s">
        <v>832</v>
      </c>
      <c r="C953" s="11"/>
      <c r="D953" s="24"/>
      <c r="G953" s="97">
        <f>SUM(H953:AE953)/48</f>
        <v>43.673539366822467</v>
      </c>
      <c r="H953" s="97">
        <f>H951*$V$20</f>
        <v>4.9802499034998888</v>
      </c>
      <c r="I953" s="97">
        <f t="shared" ref="I953:AE953" si="305">I951*$V$20</f>
        <v>19.025928002372886</v>
      </c>
      <c r="J953" s="97">
        <f t="shared" si="305"/>
        <v>36.711620553141898</v>
      </c>
      <c r="K953" s="97">
        <f t="shared" si="305"/>
        <v>54.813530924440528</v>
      </c>
      <c r="L953" s="97">
        <f t="shared" si="305"/>
        <v>72.829689529333407</v>
      </c>
      <c r="M953" s="97">
        <f t="shared" si="305"/>
        <v>89.038597114616778</v>
      </c>
      <c r="N953" s="97">
        <f t="shared" si="305"/>
        <v>104.06156141646464</v>
      </c>
      <c r="O953" s="97">
        <f t="shared" si="305"/>
        <v>116.74896102108023</v>
      </c>
      <c r="P953" s="97">
        <f t="shared" si="305"/>
        <v>127.6019865687265</v>
      </c>
      <c r="Q953" s="97">
        <f t="shared" si="305"/>
        <v>136.00091141799928</v>
      </c>
      <c r="R953" s="97">
        <f t="shared" si="305"/>
        <v>141.66583732766861</v>
      </c>
      <c r="S953" s="97">
        <f t="shared" si="305"/>
        <v>144.68607102439447</v>
      </c>
      <c r="T953" s="97">
        <f t="shared" si="305"/>
        <v>144.68607102439447</v>
      </c>
      <c r="U953" s="97">
        <f t="shared" si="305"/>
        <v>141.66583732766861</v>
      </c>
      <c r="V953" s="97">
        <f t="shared" si="305"/>
        <v>136.00091141799928</v>
      </c>
      <c r="W953" s="97">
        <f t="shared" si="305"/>
        <v>127.6019865687265</v>
      </c>
      <c r="X953" s="97">
        <f t="shared" si="305"/>
        <v>116.74896102108023</v>
      </c>
      <c r="Y953" s="97">
        <f t="shared" si="305"/>
        <v>104.06156141646464</v>
      </c>
      <c r="Z953" s="97">
        <f t="shared" si="305"/>
        <v>89.038597114616778</v>
      </c>
      <c r="AA953" s="97">
        <f t="shared" si="305"/>
        <v>72.829689529333407</v>
      </c>
      <c r="AB953" s="97">
        <f t="shared" si="305"/>
        <v>54.813530924440528</v>
      </c>
      <c r="AC953" s="97">
        <f t="shared" si="305"/>
        <v>36.711620553141898</v>
      </c>
      <c r="AD953" s="97">
        <f t="shared" si="305"/>
        <v>19.025928002372886</v>
      </c>
      <c r="AE953" s="97">
        <f t="shared" si="305"/>
        <v>4.9802499034998888</v>
      </c>
      <c r="AF953" s="28"/>
      <c r="AG953" s="11"/>
    </row>
    <row r="954" spans="1:33">
      <c r="B954" s="24" t="s">
        <v>912</v>
      </c>
      <c r="C954" s="14" t="s">
        <v>151</v>
      </c>
      <c r="D954" s="24" t="s">
        <v>152</v>
      </c>
      <c r="AF954" s="28"/>
      <c r="AG954" s="11"/>
    </row>
    <row r="955" spans="1:33">
      <c r="A955" s="20" t="s">
        <v>833</v>
      </c>
      <c r="B955" s="11"/>
      <c r="C955" s="11"/>
      <c r="D955" s="11"/>
      <c r="E955" s="27"/>
      <c r="F955" s="6"/>
      <c r="G955" s="19">
        <f>SUM(H955:AE955)/48</f>
        <v>41.456480633010663</v>
      </c>
      <c r="H955" s="24">
        <f>H953*(1-($F$16+$F$13)*$H$947)</f>
        <v>4.7274307662099142</v>
      </c>
      <c r="I955" s="24">
        <f t="shared" ref="I955:AE955" si="306">I953*(1-($F$16+$F$13)*$H$947)</f>
        <v>18.060089179642173</v>
      </c>
      <c r="J955" s="24">
        <f t="shared" si="306"/>
        <v>34.847979086026022</v>
      </c>
      <c r="K955" s="24">
        <f t="shared" si="306"/>
        <v>52.030957786816309</v>
      </c>
      <c r="L955" s="24">
        <f t="shared" si="306"/>
        <v>69.132537853678912</v>
      </c>
      <c r="M955" s="24">
        <f t="shared" si="306"/>
        <v>84.518610819911459</v>
      </c>
      <c r="N955" s="24">
        <f t="shared" si="306"/>
        <v>98.778944139795513</v>
      </c>
      <c r="O955" s="24">
        <f t="shared" si="306"/>
        <v>110.82227618060514</v>
      </c>
      <c r="P955" s="24">
        <f t="shared" si="306"/>
        <v>121.12435496672168</v>
      </c>
      <c r="Q955" s="24">
        <f t="shared" si="306"/>
        <v>129.09691387538891</v>
      </c>
      <c r="R955" s="24">
        <f t="shared" si="306"/>
        <v>134.47426351699031</v>
      </c>
      <c r="S955" s="24">
        <f t="shared" si="306"/>
        <v>137.34117702046967</v>
      </c>
      <c r="T955" s="24">
        <f t="shared" si="306"/>
        <v>137.34117702046967</v>
      </c>
      <c r="U955" s="24">
        <f t="shared" si="306"/>
        <v>134.47426351699031</v>
      </c>
      <c r="V955" s="24">
        <f t="shared" si="306"/>
        <v>129.09691387538891</v>
      </c>
      <c r="W955" s="24">
        <f t="shared" si="306"/>
        <v>121.12435496672168</v>
      </c>
      <c r="X955" s="24">
        <f t="shared" si="306"/>
        <v>110.82227618060514</v>
      </c>
      <c r="Y955" s="24">
        <f t="shared" si="306"/>
        <v>98.778944139795513</v>
      </c>
      <c r="Z955" s="24">
        <f t="shared" si="306"/>
        <v>84.518610819911459</v>
      </c>
      <c r="AA955" s="24">
        <f t="shared" si="306"/>
        <v>69.132537853678912</v>
      </c>
      <c r="AB955" s="24">
        <f t="shared" si="306"/>
        <v>52.030957786816309</v>
      </c>
      <c r="AC955" s="24">
        <f t="shared" si="306"/>
        <v>34.847979086026022</v>
      </c>
      <c r="AD955" s="24">
        <f t="shared" si="306"/>
        <v>18.060089179642173</v>
      </c>
      <c r="AE955" s="24">
        <f t="shared" si="306"/>
        <v>4.7274307662099142</v>
      </c>
      <c r="AF955" s="28"/>
      <c r="AG955" s="11"/>
    </row>
    <row r="956" spans="1:33">
      <c r="A956" s="20"/>
      <c r="B956" s="24" t="s">
        <v>153</v>
      </c>
      <c r="C956" s="11"/>
      <c r="D956" t="s">
        <v>154</v>
      </c>
      <c r="G956" s="27"/>
      <c r="H956" s="24" t="s">
        <v>900</v>
      </c>
      <c r="K956" t="s">
        <v>853</v>
      </c>
      <c r="M956" s="28"/>
      <c r="O956" s="28"/>
      <c r="P956" s="28"/>
      <c r="Q956" s="11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11"/>
    </row>
    <row r="957" spans="1:33">
      <c r="A957" t="s">
        <v>834</v>
      </c>
      <c r="B957" s="5"/>
      <c r="C957" s="11"/>
      <c r="D957" s="5" t="s">
        <v>155</v>
      </c>
      <c r="F957" t="s">
        <v>156</v>
      </c>
      <c r="G957" s="97">
        <f>SUM(H957:AE957)/48</f>
        <v>2.173586993933132</v>
      </c>
      <c r="H957" s="97">
        <f>H953*$H$947*$F$16</f>
        <v>0.24786189930389615</v>
      </c>
      <c r="I957" s="97">
        <f t="shared" ref="I957:AE957" si="307">I953*$H$947*$F$16</f>
        <v>0.94690080659873688</v>
      </c>
      <c r="J957" s="97">
        <f t="shared" si="307"/>
        <v>1.8270994775645808</v>
      </c>
      <c r="K957" s="97">
        <f t="shared" si="307"/>
        <v>2.728012880023738</v>
      </c>
      <c r="L957" s="97">
        <f t="shared" si="307"/>
        <v>3.6246585055436182</v>
      </c>
      <c r="M957" s="97">
        <f t="shared" si="307"/>
        <v>4.431359112456196</v>
      </c>
      <c r="N957" s="97">
        <f t="shared" si="307"/>
        <v>5.1790365457540419</v>
      </c>
      <c r="O957" s="97">
        <f t="shared" si="307"/>
        <v>5.8104753337991069</v>
      </c>
      <c r="P957" s="97">
        <f t="shared" si="307"/>
        <v>6.3506192176517757</v>
      </c>
      <c r="Q957" s="97">
        <f t="shared" si="307"/>
        <v>6.7686250417748717</v>
      </c>
      <c r="R957" s="97">
        <f t="shared" si="307"/>
        <v>7.0505625594885402</v>
      </c>
      <c r="S957" s="97">
        <f t="shared" si="307"/>
        <v>7.2008764744360638</v>
      </c>
      <c r="T957" s="97">
        <f t="shared" si="307"/>
        <v>7.2008764744360638</v>
      </c>
      <c r="U957" s="97">
        <f t="shared" si="307"/>
        <v>7.0505625594885402</v>
      </c>
      <c r="V957" s="97">
        <f t="shared" si="307"/>
        <v>6.7686250417748717</v>
      </c>
      <c r="W957" s="97">
        <f t="shared" si="307"/>
        <v>6.3506192176517757</v>
      </c>
      <c r="X957" s="97">
        <f t="shared" si="307"/>
        <v>5.8104753337991069</v>
      </c>
      <c r="Y957" s="97">
        <f t="shared" si="307"/>
        <v>5.1790365457540419</v>
      </c>
      <c r="Z957" s="97">
        <f t="shared" si="307"/>
        <v>4.431359112456196</v>
      </c>
      <c r="AA957" s="97">
        <f t="shared" si="307"/>
        <v>3.6246585055436182</v>
      </c>
      <c r="AB957" s="97">
        <f t="shared" si="307"/>
        <v>2.728012880023738</v>
      </c>
      <c r="AC957" s="97">
        <f t="shared" si="307"/>
        <v>1.8270994775645808</v>
      </c>
      <c r="AD957" s="97">
        <f t="shared" si="307"/>
        <v>0.94690080659873688</v>
      </c>
      <c r="AE957" s="97">
        <f t="shared" si="307"/>
        <v>0.24786189930389615</v>
      </c>
      <c r="AF957" s="28"/>
      <c r="AG957" s="11"/>
    </row>
    <row r="958" spans="1:33">
      <c r="A958" t="s">
        <v>909</v>
      </c>
      <c r="B958" s="5"/>
      <c r="C958" s="11"/>
      <c r="D958" s="5" t="s">
        <v>157</v>
      </c>
      <c r="G958" s="97">
        <f>SUM(H958:AE958)/48</f>
        <v>1.5215108957531924</v>
      </c>
      <c r="H958" s="97">
        <f>H957*$V$20</f>
        <v>0.17350332951272729</v>
      </c>
      <c r="I958" s="97">
        <f t="shared" ref="I958:AE958" si="308">I957*$V$20</f>
        <v>0.66283056461911583</v>
      </c>
      <c r="J958" s="97">
        <f t="shared" si="308"/>
        <v>1.2789696342952064</v>
      </c>
      <c r="K958" s="97">
        <f t="shared" si="308"/>
        <v>1.9096090160166164</v>
      </c>
      <c r="L958" s="97">
        <f t="shared" si="308"/>
        <v>2.5372609538805326</v>
      </c>
      <c r="M958" s="97">
        <f t="shared" si="308"/>
        <v>3.1019513787193369</v>
      </c>
      <c r="N958" s="97">
        <f t="shared" si="308"/>
        <v>3.6253255820278292</v>
      </c>
      <c r="O958" s="97">
        <f t="shared" si="308"/>
        <v>4.0673327336593745</v>
      </c>
      <c r="P958" s="97">
        <f t="shared" si="308"/>
        <v>4.4454334523562427</v>
      </c>
      <c r="Q958" s="97">
        <f t="shared" si="308"/>
        <v>4.7380375292424102</v>
      </c>
      <c r="R958" s="97">
        <f t="shared" si="308"/>
        <v>4.9353937916419781</v>
      </c>
      <c r="S958" s="97">
        <f t="shared" si="308"/>
        <v>5.0406135321052448</v>
      </c>
      <c r="T958" s="97">
        <f t="shared" si="308"/>
        <v>5.0406135321052448</v>
      </c>
      <c r="U958" s="97">
        <f t="shared" si="308"/>
        <v>4.9353937916419781</v>
      </c>
      <c r="V958" s="97">
        <f t="shared" si="308"/>
        <v>4.7380375292424102</v>
      </c>
      <c r="W958" s="97">
        <f t="shared" si="308"/>
        <v>4.4454334523562427</v>
      </c>
      <c r="X958" s="97">
        <f t="shared" si="308"/>
        <v>4.0673327336593745</v>
      </c>
      <c r="Y958" s="97">
        <f t="shared" si="308"/>
        <v>3.6253255820278292</v>
      </c>
      <c r="Z958" s="97">
        <f t="shared" si="308"/>
        <v>3.1019513787193369</v>
      </c>
      <c r="AA958" s="97">
        <f t="shared" si="308"/>
        <v>2.5372609538805326</v>
      </c>
      <c r="AB958" s="97">
        <f t="shared" si="308"/>
        <v>1.9096090160166164</v>
      </c>
      <c r="AC958" s="97">
        <f t="shared" si="308"/>
        <v>1.2789696342952064</v>
      </c>
      <c r="AD958" s="97">
        <f t="shared" si="308"/>
        <v>0.66283056461911583</v>
      </c>
      <c r="AE958" s="97">
        <f t="shared" si="308"/>
        <v>0.17350332951272729</v>
      </c>
      <c r="AF958" s="28"/>
      <c r="AG958" s="11"/>
    </row>
    <row r="959" spans="1:33">
      <c r="A959" s="20" t="s">
        <v>835</v>
      </c>
      <c r="B959" s="5"/>
      <c r="C959" s="11"/>
      <c r="G959" s="19">
        <f>SUM(H959:AE959)/48</f>
        <v>1.4442723877475414</v>
      </c>
      <c r="H959" s="24">
        <f>H958*(1-($F$16+$F$13)*$H$947)</f>
        <v>0.16469554618171017</v>
      </c>
      <c r="I959" s="24">
        <f t="shared" ref="I959:AE959" si="309">I958*(1-($F$16+$F$13)*$H$947)</f>
        <v>0.6291824034297212</v>
      </c>
      <c r="J959" s="24">
        <f t="shared" si="309"/>
        <v>1.2140435751961731</v>
      </c>
      <c r="K959" s="24">
        <f t="shared" si="309"/>
        <v>1.8126689601268109</v>
      </c>
      <c r="L959" s="24">
        <f t="shared" si="309"/>
        <v>2.4084585568384043</v>
      </c>
      <c r="M959" s="24">
        <f t="shared" si="309"/>
        <v>2.9444828406581953</v>
      </c>
      <c r="N959" s="24">
        <f t="shared" si="309"/>
        <v>3.4412882939794041</v>
      </c>
      <c r="O959" s="24">
        <f t="shared" si="309"/>
        <v>3.8608572409190614</v>
      </c>
      <c r="P959" s="24">
        <f t="shared" si="309"/>
        <v>4.2197639233001043</v>
      </c>
      <c r="Q959" s="24">
        <f t="shared" si="309"/>
        <v>4.4975141451148826</v>
      </c>
      <c r="R959" s="24">
        <f t="shared" si="309"/>
        <v>4.6848517456068279</v>
      </c>
      <c r="S959" s="24">
        <f t="shared" si="309"/>
        <v>4.7847300745896986</v>
      </c>
      <c r="T959" s="24">
        <f t="shared" si="309"/>
        <v>4.7847300745896986</v>
      </c>
      <c r="U959" s="24">
        <f t="shared" si="309"/>
        <v>4.6848517456068279</v>
      </c>
      <c r="V959" s="24">
        <f t="shared" si="309"/>
        <v>4.4975141451148826</v>
      </c>
      <c r="W959" s="24">
        <f t="shared" si="309"/>
        <v>4.2197639233001043</v>
      </c>
      <c r="X959" s="24">
        <f t="shared" si="309"/>
        <v>3.8608572409190614</v>
      </c>
      <c r="Y959" s="24">
        <f t="shared" si="309"/>
        <v>3.4412882939794041</v>
      </c>
      <c r="Z959" s="24">
        <f t="shared" si="309"/>
        <v>2.9444828406581953</v>
      </c>
      <c r="AA959" s="24">
        <f t="shared" si="309"/>
        <v>2.4084585568384043</v>
      </c>
      <c r="AB959" s="24">
        <f t="shared" si="309"/>
        <v>1.8126689601268109</v>
      </c>
      <c r="AC959" s="24">
        <f t="shared" si="309"/>
        <v>1.2140435751961731</v>
      </c>
      <c r="AD959" s="24">
        <f t="shared" si="309"/>
        <v>0.6291824034297212</v>
      </c>
      <c r="AE959" s="24">
        <f t="shared" si="309"/>
        <v>0.16469554618171017</v>
      </c>
      <c r="AF959" s="28"/>
      <c r="AG959" s="11"/>
    </row>
    <row r="960" spans="1:33">
      <c r="A960" s="20"/>
      <c r="B960" s="24" t="s">
        <v>158</v>
      </c>
      <c r="C960" s="11"/>
      <c r="D960" t="s">
        <v>154</v>
      </c>
      <c r="G960" s="27"/>
      <c r="H960" s="24" t="s">
        <v>900</v>
      </c>
      <c r="K960" t="s">
        <v>853</v>
      </c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8"/>
      <c r="AG960" s="11"/>
    </row>
    <row r="961" spans="1:33">
      <c r="A961" s="100" t="s">
        <v>836</v>
      </c>
      <c r="B961" s="5"/>
      <c r="C961" s="11"/>
      <c r="G961" s="19">
        <f>SUM(H961:AE961)/48</f>
        <v>5.0315962622958892E-2</v>
      </c>
      <c r="H961" s="2">
        <f>H959^2/H955</f>
        <v>5.7377091857102411E-3</v>
      </c>
      <c r="I961" s="2">
        <f t="shared" ref="I961:AE961" si="310">I959^2/I955</f>
        <v>2.1919631340017773E-2</v>
      </c>
      <c r="J961" s="2">
        <f t="shared" si="310"/>
        <v>4.2295187300147863E-2</v>
      </c>
      <c r="K961" s="2">
        <f t="shared" si="310"/>
        <v>6.3150264741806614E-2</v>
      </c>
      <c r="L961" s="2">
        <f t="shared" si="310"/>
        <v>8.3906548205787357E-2</v>
      </c>
      <c r="M961" s="2">
        <f t="shared" si="310"/>
        <v>0.10258071109810556</v>
      </c>
      <c r="N961" s="2">
        <f t="shared" si="310"/>
        <v>0.11988855747961624</v>
      </c>
      <c r="O961" s="2">
        <f t="shared" si="310"/>
        <v>0.13450561699765795</v>
      </c>
      <c r="P961" s="2">
        <f t="shared" si="310"/>
        <v>0.14700930769272053</v>
      </c>
      <c r="Q961" s="2">
        <f t="shared" si="310"/>
        <v>0.15668564707157309</v>
      </c>
      <c r="R961" s="2">
        <f t="shared" si="310"/>
        <v>0.16321216643467482</v>
      </c>
      <c r="S961" s="2">
        <f t="shared" si="310"/>
        <v>0.16669175540319578</v>
      </c>
      <c r="T961" s="2">
        <f t="shared" si="310"/>
        <v>0.16669175540319578</v>
      </c>
      <c r="U961" s="2">
        <f t="shared" si="310"/>
        <v>0.16321216643467482</v>
      </c>
      <c r="V961" s="2">
        <f t="shared" si="310"/>
        <v>0.15668564707157309</v>
      </c>
      <c r="W961" s="2">
        <f t="shared" si="310"/>
        <v>0.14700930769272053</v>
      </c>
      <c r="X961" s="2">
        <f t="shared" si="310"/>
        <v>0.13450561699765795</v>
      </c>
      <c r="Y961" s="2">
        <f t="shared" si="310"/>
        <v>0.11988855747961624</v>
      </c>
      <c r="Z961" s="2">
        <f t="shared" si="310"/>
        <v>0.10258071109810556</v>
      </c>
      <c r="AA961" s="2">
        <f t="shared" si="310"/>
        <v>8.3906548205787357E-2</v>
      </c>
      <c r="AB961" s="2">
        <f t="shared" si="310"/>
        <v>6.3150264741806614E-2</v>
      </c>
      <c r="AC961" s="2">
        <f t="shared" si="310"/>
        <v>4.2295187300147863E-2</v>
      </c>
      <c r="AD961" s="2">
        <f t="shared" si="310"/>
        <v>2.1919631340017773E-2</v>
      </c>
      <c r="AE961" s="2">
        <f t="shared" si="310"/>
        <v>5.7377091857102411E-3</v>
      </c>
      <c r="AF961" s="28"/>
      <c r="AG961" s="11"/>
    </row>
    <row r="962" spans="1:33">
      <c r="A962" s="100"/>
      <c r="B962" s="24" t="s">
        <v>159</v>
      </c>
      <c r="C962" s="11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8"/>
      <c r="AG962" s="11"/>
    </row>
    <row r="963" spans="1:33">
      <c r="A963" s="20" t="s">
        <v>837</v>
      </c>
      <c r="B963" s="11"/>
      <c r="C963" s="11"/>
      <c r="D963" s="11"/>
      <c r="E963" s="27"/>
      <c r="F963" s="6"/>
      <c r="G963" s="19">
        <f>SUM(H963:AE963)/24</f>
        <v>265.36188237043092</v>
      </c>
      <c r="H963" s="24">
        <f>$V$24*(1-$H$947*(1-$F$14))</f>
        <v>265.36188237043075</v>
      </c>
      <c r="I963" s="24">
        <f t="shared" ref="I963:AE963" si="311">$V$24*(1-$H$947*(1-$F$14))</f>
        <v>265.36188237043075</v>
      </c>
      <c r="J963" s="24">
        <f t="shared" si="311"/>
        <v>265.36188237043075</v>
      </c>
      <c r="K963" s="24">
        <f t="shared" si="311"/>
        <v>265.36188237043075</v>
      </c>
      <c r="L963" s="24">
        <f t="shared" si="311"/>
        <v>265.36188237043075</v>
      </c>
      <c r="M963" s="24">
        <f t="shared" si="311"/>
        <v>265.36188237043075</v>
      </c>
      <c r="N963" s="24">
        <f t="shared" si="311"/>
        <v>265.36188237043075</v>
      </c>
      <c r="O963" s="24">
        <f t="shared" si="311"/>
        <v>265.36188237043075</v>
      </c>
      <c r="P963" s="24">
        <f t="shared" si="311"/>
        <v>265.36188237043075</v>
      </c>
      <c r="Q963" s="24">
        <f t="shared" si="311"/>
        <v>265.36188237043075</v>
      </c>
      <c r="R963" s="24">
        <f t="shared" si="311"/>
        <v>265.36188237043075</v>
      </c>
      <c r="S963" s="24">
        <f t="shared" si="311"/>
        <v>265.36188237043075</v>
      </c>
      <c r="T963" s="24">
        <f t="shared" si="311"/>
        <v>265.36188237043075</v>
      </c>
      <c r="U963" s="24">
        <f t="shared" si="311"/>
        <v>265.36188237043075</v>
      </c>
      <c r="V963" s="24">
        <f t="shared" si="311"/>
        <v>265.36188237043075</v>
      </c>
      <c r="W963" s="24">
        <f t="shared" si="311"/>
        <v>265.36188237043075</v>
      </c>
      <c r="X963" s="24">
        <f t="shared" si="311"/>
        <v>265.36188237043075</v>
      </c>
      <c r="Y963" s="24">
        <f t="shared" si="311"/>
        <v>265.36188237043075</v>
      </c>
      <c r="Z963" s="24">
        <f t="shared" si="311"/>
        <v>265.36188237043075</v>
      </c>
      <c r="AA963" s="24">
        <f t="shared" si="311"/>
        <v>265.36188237043075</v>
      </c>
      <c r="AB963" s="24">
        <f t="shared" si="311"/>
        <v>265.36188237043075</v>
      </c>
      <c r="AC963" s="24">
        <f t="shared" si="311"/>
        <v>265.36188237043075</v>
      </c>
      <c r="AD963" s="24">
        <f t="shared" si="311"/>
        <v>265.36188237043075</v>
      </c>
      <c r="AE963" s="24">
        <f t="shared" si="311"/>
        <v>265.36188237043075</v>
      </c>
      <c r="AF963" s="28"/>
      <c r="AG963" s="11"/>
    </row>
    <row r="964" spans="1:33">
      <c r="A964" s="20"/>
      <c r="B964" s="5" t="s">
        <v>160</v>
      </c>
      <c r="C964" s="11"/>
      <c r="D964" t="s">
        <v>161</v>
      </c>
      <c r="E964" s="2"/>
      <c r="G964" t="s">
        <v>162</v>
      </c>
      <c r="I964" s="11"/>
      <c r="J964" s="28"/>
      <c r="K964" s="2" t="s">
        <v>844</v>
      </c>
      <c r="L964" s="12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11"/>
    </row>
    <row r="965" spans="1:33">
      <c r="A965" s="12" t="s">
        <v>573</v>
      </c>
      <c r="B965" t="s">
        <v>839</v>
      </c>
      <c r="E965" s="12"/>
      <c r="F965" s="6"/>
      <c r="G965" s="32"/>
      <c r="H965" s="3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3">
      <c r="A966" s="11"/>
      <c r="B966" s="14" t="s">
        <v>870</v>
      </c>
      <c r="E966" s="12"/>
      <c r="F966" s="6"/>
      <c r="G966" s="32"/>
      <c r="H966" s="3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3">
      <c r="A967" s="11"/>
      <c r="B967" s="14" t="s">
        <v>845</v>
      </c>
      <c r="E967" s="12"/>
      <c r="F967" s="6"/>
      <c r="G967" s="32"/>
      <c r="H967" s="3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3">
      <c r="A968" s="11"/>
      <c r="B968" s="14" t="s">
        <v>842</v>
      </c>
      <c r="E968" s="12"/>
      <c r="F968" s="6"/>
      <c r="G968" s="32"/>
      <c r="H968" s="3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3">
      <c r="A969" s="20" t="s">
        <v>914</v>
      </c>
      <c r="B969" s="11"/>
      <c r="C969" s="11"/>
      <c r="D969" s="11"/>
      <c r="E969" s="27"/>
      <c r="F969" s="6"/>
      <c r="G969" s="19">
        <f>SUM(H969:AE969)/24</f>
        <v>12.551783676120003</v>
      </c>
      <c r="H969" s="24">
        <f t="shared" ref="H969:AE969" si="312">$M$9*($F$9+273)^4*$F$11*$H$18</f>
        <v>12.551783676119999</v>
      </c>
      <c r="I969" s="24">
        <f t="shared" si="312"/>
        <v>12.551783676119999</v>
      </c>
      <c r="J969" s="24">
        <f t="shared" si="312"/>
        <v>12.551783676119999</v>
      </c>
      <c r="K969" s="24">
        <f t="shared" si="312"/>
        <v>12.551783676119999</v>
      </c>
      <c r="L969" s="24">
        <f t="shared" si="312"/>
        <v>12.551783676119999</v>
      </c>
      <c r="M969" s="24">
        <f t="shared" si="312"/>
        <v>12.551783676119999</v>
      </c>
      <c r="N969" s="24">
        <f t="shared" si="312"/>
        <v>12.551783676119999</v>
      </c>
      <c r="O969" s="24">
        <f t="shared" si="312"/>
        <v>12.551783676119999</v>
      </c>
      <c r="P969" s="24">
        <f t="shared" si="312"/>
        <v>12.551783676119999</v>
      </c>
      <c r="Q969" s="24">
        <f t="shared" si="312"/>
        <v>12.551783676119999</v>
      </c>
      <c r="R969" s="24">
        <f t="shared" si="312"/>
        <v>12.551783676119999</v>
      </c>
      <c r="S969" s="24">
        <f t="shared" si="312"/>
        <v>12.551783676119999</v>
      </c>
      <c r="T969" s="24">
        <f t="shared" si="312"/>
        <v>12.551783676119999</v>
      </c>
      <c r="U969" s="24">
        <f t="shared" si="312"/>
        <v>12.551783676119999</v>
      </c>
      <c r="V969" s="24">
        <f t="shared" si="312"/>
        <v>12.551783676119999</v>
      </c>
      <c r="W969" s="24">
        <f t="shared" si="312"/>
        <v>12.551783676119999</v>
      </c>
      <c r="X969" s="24">
        <f t="shared" si="312"/>
        <v>12.551783676119999</v>
      </c>
      <c r="Y969" s="24">
        <f t="shared" si="312"/>
        <v>12.551783676119999</v>
      </c>
      <c r="Z969" s="24">
        <f t="shared" si="312"/>
        <v>12.551783676119999</v>
      </c>
      <c r="AA969" s="24">
        <f t="shared" si="312"/>
        <v>12.551783676119999</v>
      </c>
      <c r="AB969" s="24">
        <f t="shared" si="312"/>
        <v>12.551783676119999</v>
      </c>
      <c r="AC969" s="24">
        <f t="shared" si="312"/>
        <v>12.551783676119999</v>
      </c>
      <c r="AD969" s="24">
        <f t="shared" si="312"/>
        <v>12.551783676119999</v>
      </c>
      <c r="AE969" s="24">
        <f t="shared" si="312"/>
        <v>12.551783676119999</v>
      </c>
      <c r="AF969" s="28"/>
      <c r="AG969" s="11"/>
    </row>
    <row r="970" spans="1:33">
      <c r="A970" s="20"/>
      <c r="B970" s="5" t="s">
        <v>272</v>
      </c>
      <c r="C970" s="11"/>
      <c r="D970" t="s">
        <v>743</v>
      </c>
      <c r="E970" s="27"/>
      <c r="F970" s="6"/>
      <c r="G970" s="28"/>
      <c r="H970" t="s">
        <v>717</v>
      </c>
      <c r="I970" s="29"/>
      <c r="J970" s="11"/>
      <c r="K970" s="2" t="s">
        <v>273</v>
      </c>
      <c r="L970" s="11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11"/>
    </row>
    <row r="971" spans="1:33">
      <c r="A971" s="20"/>
      <c r="B971" s="27" t="s">
        <v>925</v>
      </c>
      <c r="C971" s="11" t="s">
        <v>266</v>
      </c>
      <c r="E971" s="27"/>
      <c r="F971" s="6"/>
      <c r="G971" s="28"/>
      <c r="I971" s="29"/>
      <c r="J971" s="11"/>
      <c r="K971" s="2"/>
      <c r="L971" s="11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11"/>
    </row>
    <row r="972" spans="1:33">
      <c r="A972" s="20"/>
      <c r="B972" s="14"/>
      <c r="C972" t="s">
        <v>274</v>
      </c>
      <c r="E972" s="27"/>
      <c r="F972" s="6"/>
      <c r="G972" s="28"/>
      <c r="I972" s="29"/>
      <c r="J972" s="11"/>
      <c r="K972" s="2"/>
      <c r="L972" s="11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11"/>
    </row>
    <row r="973" spans="1:33">
      <c r="A973" s="20"/>
      <c r="B973" s="16" t="s">
        <v>332</v>
      </c>
      <c r="C973" s="11"/>
      <c r="D973" s="11"/>
      <c r="E973" s="27"/>
      <c r="F973" s="6"/>
      <c r="G973" s="32">
        <f>G948+G955+G959+G961+G963+G969</f>
        <v>333.71177046159079</v>
      </c>
      <c r="H973" s="33"/>
      <c r="I973" s="29"/>
      <c r="J973" s="28"/>
      <c r="K973" s="11"/>
      <c r="L973" s="11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11"/>
    </row>
    <row r="974" spans="1:33">
      <c r="A974" s="20"/>
      <c r="B974" s="16" t="s">
        <v>721</v>
      </c>
      <c r="G974" s="32">
        <f>G943-G973</f>
        <v>13.179709835436086</v>
      </c>
      <c r="H974" s="33"/>
      <c r="I974" s="8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3">
      <c r="A975" s="39" t="s">
        <v>513</v>
      </c>
      <c r="B975" s="16"/>
      <c r="G975" s="32"/>
      <c r="H975" s="3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3">
      <c r="A976" s="3" t="s">
        <v>771</v>
      </c>
      <c r="G976" t="s">
        <v>535</v>
      </c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3">
      <c r="A977" s="20" t="s">
        <v>873</v>
      </c>
      <c r="B977" s="11"/>
      <c r="C977" s="11"/>
      <c r="D977" s="11"/>
      <c r="E977" s="14" t="s">
        <v>563</v>
      </c>
      <c r="F977" s="31">
        <f>$F$15</f>
        <v>0.7</v>
      </c>
      <c r="G977" s="19">
        <f>SUM(H977:AE977)/48</f>
        <v>36.182057802707256</v>
      </c>
      <c r="H977" s="2">
        <f>H$70*H$27*$F$15</f>
        <v>0</v>
      </c>
      <c r="I977" s="2">
        <f t="shared" ref="I977:AE977" si="313">I$70*I$27*$F$15</f>
        <v>0</v>
      </c>
      <c r="J977" s="2">
        <f t="shared" si="313"/>
        <v>0</v>
      </c>
      <c r="K977" s="2">
        <f t="shared" si="313"/>
        <v>0</v>
      </c>
      <c r="L977" s="2">
        <f t="shared" si="313"/>
        <v>0</v>
      </c>
      <c r="M977" s="2">
        <f t="shared" si="313"/>
        <v>0</v>
      </c>
      <c r="N977" s="2">
        <f t="shared" si="313"/>
        <v>0</v>
      </c>
      <c r="O977" s="2">
        <f t="shared" si="313"/>
        <v>0</v>
      </c>
      <c r="P977" s="2">
        <f t="shared" si="313"/>
        <v>149.197255963016</v>
      </c>
      <c r="Q977" s="2">
        <f t="shared" si="313"/>
        <v>157.60460421926157</v>
      </c>
      <c r="R977" s="2">
        <f t="shared" si="313"/>
        <v>163.20260686474126</v>
      </c>
      <c r="S977" s="2">
        <f t="shared" si="313"/>
        <v>166.16394120948561</v>
      </c>
      <c r="T977" s="2">
        <f t="shared" si="313"/>
        <v>166.16394120948561</v>
      </c>
      <c r="U977" s="2">
        <f t="shared" si="313"/>
        <v>163.20260686474126</v>
      </c>
      <c r="V977" s="2">
        <f t="shared" si="313"/>
        <v>157.60460421926157</v>
      </c>
      <c r="W977" s="2">
        <f t="shared" si="313"/>
        <v>149.197255963016</v>
      </c>
      <c r="X977" s="2">
        <f t="shared" si="313"/>
        <v>138.13444873783126</v>
      </c>
      <c r="Y977" s="2">
        <f t="shared" si="313"/>
        <v>124.90051333536734</v>
      </c>
      <c r="Z977" s="2">
        <f t="shared" si="313"/>
        <v>109.31971760617094</v>
      </c>
      <c r="AA977" s="2">
        <f t="shared" si="313"/>
        <v>92.047278337569892</v>
      </c>
      <c r="AB977" s="2">
        <f t="shared" si="313"/>
        <v>0</v>
      </c>
      <c r="AC977" s="2">
        <f t="shared" si="313"/>
        <v>0</v>
      </c>
      <c r="AD977" s="2">
        <f t="shared" si="313"/>
        <v>0</v>
      </c>
      <c r="AE977" s="2">
        <f t="shared" si="313"/>
        <v>0</v>
      </c>
      <c r="AF977" s="2"/>
    </row>
    <row r="978" spans="1:33">
      <c r="A978" s="5"/>
      <c r="B978" s="5" t="s">
        <v>163</v>
      </c>
      <c r="C978" s="11"/>
      <c r="D978" t="s">
        <v>166</v>
      </c>
      <c r="E978" s="12"/>
      <c r="F978" s="18"/>
      <c r="G978" s="19"/>
      <c r="H978" s="2" t="s">
        <v>860</v>
      </c>
      <c r="I978" s="2"/>
      <c r="J978" s="2" t="s">
        <v>861</v>
      </c>
      <c r="K978" s="26"/>
      <c r="L978" s="2"/>
      <c r="M978" s="2"/>
      <c r="N978" s="2"/>
      <c r="O978" s="26"/>
      <c r="P978" s="2"/>
      <c r="Q978" s="2"/>
      <c r="R978" s="26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3">
      <c r="A979" s="20" t="s">
        <v>874</v>
      </c>
      <c r="G979" s="19">
        <f>SUM(H979:AE979)/48</f>
        <v>16.754720006826272</v>
      </c>
      <c r="H979" s="2">
        <f>H$70*$V$20*H$28^2</f>
        <v>10.020450220835597</v>
      </c>
      <c r="I979" s="2">
        <f t="shared" ref="I979:AE979" si="314">I$70*$V$20*I$28^2</f>
        <v>31.726190199980788</v>
      </c>
      <c r="J979" s="2">
        <f t="shared" si="314"/>
        <v>52.915340386874881</v>
      </c>
      <c r="K979" s="2">
        <f t="shared" si="314"/>
        <v>73.079396879507115</v>
      </c>
      <c r="L979" s="2">
        <f t="shared" si="314"/>
        <v>92.047278337569892</v>
      </c>
      <c r="M979" s="2">
        <f t="shared" si="314"/>
        <v>109.31971760617094</v>
      </c>
      <c r="N979" s="2">
        <f t="shared" si="314"/>
        <v>124.90051333536734</v>
      </c>
      <c r="O979" s="2">
        <f t="shared" si="314"/>
        <v>138.13444873783126</v>
      </c>
      <c r="P979" s="2">
        <f t="shared" si="314"/>
        <v>0.37299313990754068</v>
      </c>
      <c r="Q979" s="2">
        <f t="shared" si="314"/>
        <v>0.39401151054815464</v>
      </c>
      <c r="R979" s="2">
        <f t="shared" si="314"/>
        <v>0.40800651716185388</v>
      </c>
      <c r="S979" s="2">
        <f t="shared" si="314"/>
        <v>0.41540985302371475</v>
      </c>
      <c r="T979" s="2">
        <f t="shared" si="314"/>
        <v>0.41540985302371475</v>
      </c>
      <c r="U979" s="2">
        <f t="shared" si="314"/>
        <v>0.40800651716185388</v>
      </c>
      <c r="V979" s="2">
        <f t="shared" si="314"/>
        <v>0.39401151054815464</v>
      </c>
      <c r="W979" s="2">
        <f t="shared" si="314"/>
        <v>0.37299313990754068</v>
      </c>
      <c r="X979" s="2">
        <f t="shared" si="314"/>
        <v>0.34533612184457879</v>
      </c>
      <c r="Y979" s="2">
        <f t="shared" si="314"/>
        <v>0.31225128333841889</v>
      </c>
      <c r="Z979" s="2">
        <f t="shared" si="314"/>
        <v>0.27329929401542785</v>
      </c>
      <c r="AA979" s="2">
        <f t="shared" si="314"/>
        <v>0.23011819584392512</v>
      </c>
      <c r="AB979" s="2">
        <f t="shared" si="314"/>
        <v>73.079396879507115</v>
      </c>
      <c r="AC979" s="2">
        <f t="shared" si="314"/>
        <v>52.915340386874881</v>
      </c>
      <c r="AD979" s="2">
        <f t="shared" si="314"/>
        <v>31.726190199980788</v>
      </c>
      <c r="AE979" s="2">
        <f t="shared" si="314"/>
        <v>10.020450220835597</v>
      </c>
      <c r="AF979" s="2"/>
    </row>
    <row r="980" spans="1:33">
      <c r="A980" s="16"/>
      <c r="B980" s="5" t="s">
        <v>164</v>
      </c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3">
      <c r="A981" s="20" t="s">
        <v>875</v>
      </c>
      <c r="E981" s="12"/>
      <c r="F981" s="6"/>
      <c r="G981" s="19">
        <f>(SUM(H981:AE981)+24*$V$24)/48</f>
        <v>220.533868224</v>
      </c>
      <c r="H981" s="2">
        <f>$V$24*(1-H$27)</f>
        <v>294.04515763199998</v>
      </c>
      <c r="I981" s="2">
        <f t="shared" ref="I981:AE981" si="315">$V$24*(1-I$27)</f>
        <v>294.04515763199998</v>
      </c>
      <c r="J981" s="2">
        <f t="shared" si="315"/>
        <v>294.04515763199998</v>
      </c>
      <c r="K981" s="2">
        <f t="shared" si="315"/>
        <v>294.04515763199998</v>
      </c>
      <c r="L981" s="2">
        <f t="shared" si="315"/>
        <v>294.04515763199998</v>
      </c>
      <c r="M981" s="2">
        <f t="shared" si="315"/>
        <v>294.04515763199998</v>
      </c>
      <c r="N981" s="2">
        <f t="shared" si="315"/>
        <v>294.04515763199998</v>
      </c>
      <c r="O981" s="2">
        <f t="shared" si="315"/>
        <v>294.04515763199998</v>
      </c>
      <c r="P981" s="2">
        <f t="shared" si="315"/>
        <v>0</v>
      </c>
      <c r="Q981" s="2">
        <f t="shared" si="315"/>
        <v>0</v>
      </c>
      <c r="R981" s="2">
        <f t="shared" si="315"/>
        <v>0</v>
      </c>
      <c r="S981" s="2">
        <f t="shared" si="315"/>
        <v>0</v>
      </c>
      <c r="T981" s="2">
        <f t="shared" si="315"/>
        <v>0</v>
      </c>
      <c r="U981" s="2">
        <f t="shared" si="315"/>
        <v>0</v>
      </c>
      <c r="V981" s="2">
        <f t="shared" si="315"/>
        <v>0</v>
      </c>
      <c r="W981" s="2">
        <f t="shared" si="315"/>
        <v>0</v>
      </c>
      <c r="X981" s="2">
        <f t="shared" si="315"/>
        <v>0</v>
      </c>
      <c r="Y981" s="2">
        <f t="shared" si="315"/>
        <v>0</v>
      </c>
      <c r="Z981" s="2">
        <f t="shared" si="315"/>
        <v>0</v>
      </c>
      <c r="AA981" s="2">
        <f t="shared" si="315"/>
        <v>0</v>
      </c>
      <c r="AB981" s="2">
        <f t="shared" si="315"/>
        <v>294.04515763199998</v>
      </c>
      <c r="AC981" s="2">
        <f t="shared" si="315"/>
        <v>294.04515763199998</v>
      </c>
      <c r="AD981" s="2">
        <f t="shared" si="315"/>
        <v>294.04515763199998</v>
      </c>
      <c r="AE981" s="2">
        <f t="shared" si="315"/>
        <v>294.04515763199998</v>
      </c>
      <c r="AF981" s="2"/>
    </row>
    <row r="982" spans="1:33">
      <c r="A982" s="20"/>
      <c r="C982" s="5" t="s">
        <v>165</v>
      </c>
      <c r="D982" t="s">
        <v>142</v>
      </c>
      <c r="E982" s="12"/>
      <c r="F982" s="6"/>
      <c r="G982" s="19"/>
      <c r="H982" s="2" t="s">
        <v>860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3">
      <c r="A983" s="20" t="s">
        <v>876</v>
      </c>
      <c r="E983" s="12">
        <f>$F$7</f>
        <v>-5</v>
      </c>
      <c r="F983" s="6" t="s">
        <v>558</v>
      </c>
      <c r="G983" s="19">
        <f>SUM(H983:AE983)/48</f>
        <v>73.51128940800001</v>
      </c>
      <c r="H983" s="2">
        <f t="shared" ref="H983:AE983" si="316">$M$9*($F$7+273)^4*H$27</f>
        <v>0</v>
      </c>
      <c r="I983" s="2">
        <f t="shared" si="316"/>
        <v>0</v>
      </c>
      <c r="J983" s="2">
        <f t="shared" si="316"/>
        <v>0</v>
      </c>
      <c r="K983" s="2">
        <f t="shared" si="316"/>
        <v>0</v>
      </c>
      <c r="L983" s="2">
        <f t="shared" si="316"/>
        <v>0</v>
      </c>
      <c r="M983" s="2">
        <f t="shared" si="316"/>
        <v>0</v>
      </c>
      <c r="N983" s="2">
        <f t="shared" si="316"/>
        <v>0</v>
      </c>
      <c r="O983" s="2">
        <f t="shared" si="316"/>
        <v>0</v>
      </c>
      <c r="P983" s="2">
        <f t="shared" si="316"/>
        <v>294.04515763199998</v>
      </c>
      <c r="Q983" s="2">
        <f t="shared" si="316"/>
        <v>294.04515763199998</v>
      </c>
      <c r="R983" s="2">
        <f t="shared" si="316"/>
        <v>294.04515763199998</v>
      </c>
      <c r="S983" s="2">
        <f t="shared" si="316"/>
        <v>294.04515763199998</v>
      </c>
      <c r="T983" s="2">
        <f t="shared" si="316"/>
        <v>294.04515763199998</v>
      </c>
      <c r="U983" s="2">
        <f t="shared" si="316"/>
        <v>294.04515763199998</v>
      </c>
      <c r="V983" s="2">
        <f t="shared" si="316"/>
        <v>294.04515763199998</v>
      </c>
      <c r="W983" s="2">
        <f t="shared" si="316"/>
        <v>294.04515763199998</v>
      </c>
      <c r="X983" s="2">
        <f t="shared" si="316"/>
        <v>294.04515763199998</v>
      </c>
      <c r="Y983" s="2">
        <f t="shared" si="316"/>
        <v>294.04515763199998</v>
      </c>
      <c r="Z983" s="2">
        <f t="shared" si="316"/>
        <v>294.04515763199998</v>
      </c>
      <c r="AA983" s="2">
        <f t="shared" si="316"/>
        <v>294.04515763199998</v>
      </c>
      <c r="AB983" s="2">
        <f t="shared" si="316"/>
        <v>0</v>
      </c>
      <c r="AC983" s="2">
        <f t="shared" si="316"/>
        <v>0</v>
      </c>
      <c r="AD983" s="2">
        <f t="shared" si="316"/>
        <v>0</v>
      </c>
      <c r="AE983" s="2">
        <f t="shared" si="316"/>
        <v>0</v>
      </c>
      <c r="AF983" s="2"/>
    </row>
    <row r="984" spans="1:33">
      <c r="A984" s="20"/>
      <c r="B984" t="s">
        <v>865</v>
      </c>
      <c r="D984" t="s">
        <v>743</v>
      </c>
      <c r="E984" s="30"/>
      <c r="F984" s="6"/>
      <c r="G984" s="19"/>
      <c r="H984" t="s">
        <v>617</v>
      </c>
      <c r="I984" s="2"/>
      <c r="K984" s="2" t="s">
        <v>860</v>
      </c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3">
      <c r="A985" s="20"/>
      <c r="B985" s="16" t="s">
        <v>724</v>
      </c>
      <c r="E985" s="30"/>
      <c r="F985" s="6"/>
      <c r="G985" s="32">
        <f>G977+G979+G981+G983</f>
        <v>346.98193544153355</v>
      </c>
      <c r="H985" s="3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3">
      <c r="A986" s="39" t="s">
        <v>513</v>
      </c>
      <c r="B986" s="16"/>
      <c r="E986" s="30"/>
      <c r="G986" s="32"/>
      <c r="H986" s="33"/>
      <c r="I986" s="3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3">
      <c r="A987" s="3" t="s">
        <v>320</v>
      </c>
      <c r="E987" s="12"/>
      <c r="F987" s="6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3">
      <c r="A988" s="3" t="s">
        <v>877</v>
      </c>
      <c r="G988" s="19">
        <f>SUM(H988:AE988)/48</f>
        <v>12.847035431658684</v>
      </c>
      <c r="H988" s="24">
        <f>H$70*H$946*$F$16</f>
        <v>7.0591040859043552</v>
      </c>
      <c r="I988" s="24">
        <f t="shared" ref="I988:AE988" si="317">I$70*I$946*$F$16</f>
        <v>17.787482069478852</v>
      </c>
      <c r="J988" s="24">
        <f t="shared" si="317"/>
        <v>22.694285481418746</v>
      </c>
      <c r="K988" s="24">
        <f t="shared" si="317"/>
        <v>25.58244531521931</v>
      </c>
      <c r="L988" s="24">
        <f t="shared" si="317"/>
        <v>26.915390487726174</v>
      </c>
      <c r="M988" s="24">
        <f t="shared" si="317"/>
        <v>28.404930660439994</v>
      </c>
      <c r="N988" s="24">
        <f t="shared" si="317"/>
        <v>29.186207169331517</v>
      </c>
      <c r="O988" s="24">
        <f t="shared" si="317"/>
        <v>29.951663468838966</v>
      </c>
      <c r="P988" s="24">
        <f t="shared" si="317"/>
        <v>30.245475342142143</v>
      </c>
      <c r="Q988" s="24">
        <f t="shared" si="317"/>
        <v>30.257272830899613</v>
      </c>
      <c r="R988" s="24">
        <f t="shared" si="317"/>
        <v>30.163542769009339</v>
      </c>
      <c r="S988" s="24">
        <f t="shared" si="317"/>
        <v>30.081050679399411</v>
      </c>
      <c r="T988" s="24">
        <f t="shared" si="317"/>
        <v>30.081050679399411</v>
      </c>
      <c r="U988" s="24">
        <f t="shared" si="317"/>
        <v>30.163542769009339</v>
      </c>
      <c r="V988" s="24">
        <f t="shared" si="317"/>
        <v>30.257272830899613</v>
      </c>
      <c r="W988" s="24">
        <f t="shared" si="317"/>
        <v>30.245475342142143</v>
      </c>
      <c r="X988" s="24">
        <f t="shared" si="317"/>
        <v>29.951663468838966</v>
      </c>
      <c r="Y988" s="24">
        <f t="shared" si="317"/>
        <v>29.186207169331517</v>
      </c>
      <c r="Z988" s="24">
        <f t="shared" si="317"/>
        <v>28.404930660439994</v>
      </c>
      <c r="AA988" s="24">
        <f t="shared" si="317"/>
        <v>26.915390487726174</v>
      </c>
      <c r="AB988" s="24">
        <f t="shared" si="317"/>
        <v>25.58244531521931</v>
      </c>
      <c r="AC988" s="24">
        <f t="shared" si="317"/>
        <v>22.694285481418746</v>
      </c>
      <c r="AD988" s="24">
        <f t="shared" si="317"/>
        <v>17.787482069478852</v>
      </c>
      <c r="AE988" s="24">
        <f t="shared" si="317"/>
        <v>7.0591040859043552</v>
      </c>
      <c r="AF988" s="2"/>
    </row>
    <row r="989" spans="1:33">
      <c r="B989" s="5" t="s">
        <v>146</v>
      </c>
      <c r="D989" t="s">
        <v>167</v>
      </c>
      <c r="H989" t="s">
        <v>866</v>
      </c>
      <c r="J989" s="2"/>
      <c r="K989" s="2"/>
      <c r="L989" t="s">
        <v>168</v>
      </c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3">
      <c r="A990" t="s">
        <v>879</v>
      </c>
      <c r="C990" s="11"/>
      <c r="G990" s="98">
        <f>SUM(H990:AE990)/48</f>
        <v>62.390770524032099</v>
      </c>
      <c r="H990" s="97">
        <f>H$70*(1-($F$16+$F$13)*H$946)</f>
        <v>7.1146427192855564</v>
      </c>
      <c r="I990" s="97">
        <f t="shared" ref="I990:AE990" si="318">I$70*(1-($F$16+$F$13)*I$946)</f>
        <v>27.179897146246983</v>
      </c>
      <c r="J990" s="97">
        <f t="shared" si="318"/>
        <v>52.44517221877414</v>
      </c>
      <c r="K990" s="97">
        <f t="shared" si="318"/>
        <v>78.305044177772189</v>
      </c>
      <c r="L990" s="97">
        <f t="shared" si="318"/>
        <v>104.04241361333344</v>
      </c>
      <c r="M990" s="97">
        <f t="shared" si="318"/>
        <v>127.19799587802397</v>
      </c>
      <c r="N990" s="97">
        <f t="shared" si="318"/>
        <v>148.65937345209235</v>
      </c>
      <c r="O990" s="97">
        <f t="shared" si="318"/>
        <v>166.78423003011463</v>
      </c>
      <c r="P990" s="97">
        <f t="shared" si="318"/>
        <v>182.28855224103788</v>
      </c>
      <c r="Q990" s="97">
        <f t="shared" si="318"/>
        <v>194.28701631142755</v>
      </c>
      <c r="R990" s="97">
        <f t="shared" si="318"/>
        <v>202.37976761095516</v>
      </c>
      <c r="S990" s="97">
        <f t="shared" si="318"/>
        <v>206.69438717770637</v>
      </c>
      <c r="T990" s="97">
        <f t="shared" si="318"/>
        <v>206.69438717770637</v>
      </c>
      <c r="U990" s="97">
        <f t="shared" si="318"/>
        <v>202.37976761095516</v>
      </c>
      <c r="V990" s="97">
        <f t="shared" si="318"/>
        <v>194.28701631142755</v>
      </c>
      <c r="W990" s="97">
        <f t="shared" si="318"/>
        <v>182.28855224103788</v>
      </c>
      <c r="X990" s="97">
        <f t="shared" si="318"/>
        <v>166.78423003011463</v>
      </c>
      <c r="Y990" s="97">
        <f t="shared" si="318"/>
        <v>148.65937345209235</v>
      </c>
      <c r="Z990" s="97">
        <f t="shared" si="318"/>
        <v>127.19799587802397</v>
      </c>
      <c r="AA990" s="97">
        <f t="shared" si="318"/>
        <v>104.04241361333344</v>
      </c>
      <c r="AB990" s="97">
        <f t="shared" si="318"/>
        <v>78.305044177772189</v>
      </c>
      <c r="AC990" s="97">
        <f t="shared" si="318"/>
        <v>52.44517221877414</v>
      </c>
      <c r="AD990" s="97">
        <f t="shared" si="318"/>
        <v>27.179897146246983</v>
      </c>
      <c r="AE990" s="97">
        <f t="shared" si="318"/>
        <v>7.1146427192855564</v>
      </c>
      <c r="AF990" s="28"/>
      <c r="AG990" s="11"/>
    </row>
    <row r="991" spans="1:33">
      <c r="B991" s="24" t="s">
        <v>150</v>
      </c>
      <c r="D991" s="2" t="s">
        <v>149</v>
      </c>
      <c r="E991" s="106" t="s">
        <v>970</v>
      </c>
      <c r="G991" t="s">
        <v>853</v>
      </c>
      <c r="I991" t="s">
        <v>168</v>
      </c>
      <c r="AF991" s="28"/>
      <c r="AG991" s="11"/>
    </row>
    <row r="992" spans="1:33">
      <c r="A992" t="s">
        <v>878</v>
      </c>
      <c r="C992" s="11"/>
      <c r="D992" s="24"/>
      <c r="G992" s="97">
        <f>SUM(H992:AE992)/48</f>
        <v>43.673539366822467</v>
      </c>
      <c r="H992" s="97">
        <f>H990*($V$20*(1-H$27)+$F$15*H$27)</f>
        <v>4.9802499034998888</v>
      </c>
      <c r="I992" s="97">
        <f t="shared" ref="I992:AE992" si="319">I990*($V$20*(1-I$27)+$F$15*I$27)</f>
        <v>19.025928002372886</v>
      </c>
      <c r="J992" s="97">
        <f t="shared" si="319"/>
        <v>36.711620553141898</v>
      </c>
      <c r="K992" s="97">
        <f t="shared" si="319"/>
        <v>54.813530924440528</v>
      </c>
      <c r="L992" s="97">
        <f t="shared" si="319"/>
        <v>72.829689529333407</v>
      </c>
      <c r="M992" s="97">
        <f t="shared" si="319"/>
        <v>89.038597114616778</v>
      </c>
      <c r="N992" s="97">
        <f t="shared" si="319"/>
        <v>104.06156141646464</v>
      </c>
      <c r="O992" s="97">
        <f t="shared" si="319"/>
        <v>116.74896102108023</v>
      </c>
      <c r="P992" s="97">
        <f t="shared" si="319"/>
        <v>127.6019865687265</v>
      </c>
      <c r="Q992" s="97">
        <f t="shared" si="319"/>
        <v>136.00091141799928</v>
      </c>
      <c r="R992" s="97">
        <f t="shared" si="319"/>
        <v>141.66583732766861</v>
      </c>
      <c r="S992" s="97">
        <f t="shared" si="319"/>
        <v>144.68607102439447</v>
      </c>
      <c r="T992" s="97">
        <f t="shared" si="319"/>
        <v>144.68607102439447</v>
      </c>
      <c r="U992" s="97">
        <f t="shared" si="319"/>
        <v>141.66583732766861</v>
      </c>
      <c r="V992" s="97">
        <f t="shared" si="319"/>
        <v>136.00091141799928</v>
      </c>
      <c r="W992" s="97">
        <f t="shared" si="319"/>
        <v>127.6019865687265</v>
      </c>
      <c r="X992" s="97">
        <f t="shared" si="319"/>
        <v>116.74896102108023</v>
      </c>
      <c r="Y992" s="97">
        <f t="shared" si="319"/>
        <v>104.06156141646464</v>
      </c>
      <c r="Z992" s="97">
        <f t="shared" si="319"/>
        <v>89.038597114616778</v>
      </c>
      <c r="AA992" s="97">
        <f t="shared" si="319"/>
        <v>72.829689529333407</v>
      </c>
      <c r="AB992" s="97">
        <f t="shared" si="319"/>
        <v>54.813530924440528</v>
      </c>
      <c r="AC992" s="97">
        <f t="shared" si="319"/>
        <v>36.711620553141898</v>
      </c>
      <c r="AD992" s="97">
        <f t="shared" si="319"/>
        <v>19.025928002372886</v>
      </c>
      <c r="AE992" s="97">
        <f t="shared" si="319"/>
        <v>4.9802499034998888</v>
      </c>
      <c r="AF992" s="28"/>
      <c r="AG992" s="11"/>
    </row>
    <row r="993" spans="1:33">
      <c r="B993" s="24" t="s">
        <v>917</v>
      </c>
      <c r="D993" s="14" t="s">
        <v>151</v>
      </c>
      <c r="G993" t="s">
        <v>888</v>
      </c>
      <c r="I993" s="24" t="s">
        <v>169</v>
      </c>
      <c r="M993" s="2" t="s">
        <v>860</v>
      </c>
      <c r="AF993" s="28"/>
      <c r="AG993" s="11"/>
    </row>
    <row r="994" spans="1:33" ht="18">
      <c r="A994" s="20" t="s">
        <v>881</v>
      </c>
      <c r="G994" s="19">
        <f>SUM(H994:AE994)/48</f>
        <v>29.448684379636365</v>
      </c>
      <c r="H994" s="2">
        <f>H$70*H$27*$F$15*(1-H$946*$F$16)*(1-$H$947*$F$16)</f>
        <v>0</v>
      </c>
      <c r="I994" s="2">
        <f t="shared" ref="I994:AE994" si="320">I$70*I$27*$F$15*(1-I$946*$F$16)*(1-$H$947*$F$16)</f>
        <v>0</v>
      </c>
      <c r="J994" s="2">
        <f t="shared" si="320"/>
        <v>0</v>
      </c>
      <c r="K994" s="2">
        <f t="shared" si="320"/>
        <v>0</v>
      </c>
      <c r="L994" s="2">
        <f t="shared" si="320"/>
        <v>0</v>
      </c>
      <c r="M994" s="2">
        <f t="shared" si="320"/>
        <v>0</v>
      </c>
      <c r="N994" s="2">
        <f t="shared" si="320"/>
        <v>0</v>
      </c>
      <c r="O994" s="2">
        <f t="shared" si="320"/>
        <v>0</v>
      </c>
      <c r="P994" s="2">
        <f t="shared" si="320"/>
        <v>121.65373000043833</v>
      </c>
      <c r="Q994" s="2">
        <f t="shared" si="320"/>
        <v>129.63480597034678</v>
      </c>
      <c r="R994" s="2">
        <f t="shared" si="320"/>
        <v>135.01654744931463</v>
      </c>
      <c r="S994" s="2">
        <f t="shared" si="320"/>
        <v>137.88536981948505</v>
      </c>
      <c r="T994" s="2">
        <f t="shared" si="320"/>
        <v>137.88536981948505</v>
      </c>
      <c r="U994" s="2">
        <f t="shared" si="320"/>
        <v>135.01654744931463</v>
      </c>
      <c r="V994" s="2">
        <f t="shared" si="320"/>
        <v>129.63480597034678</v>
      </c>
      <c r="W994" s="2">
        <f t="shared" si="320"/>
        <v>121.65373000043833</v>
      </c>
      <c r="X994" s="2">
        <f t="shared" si="320"/>
        <v>111.33693968841159</v>
      </c>
      <c r="Y994" s="2">
        <f t="shared" si="320"/>
        <v>99.270795827231638</v>
      </c>
      <c r="Z994" s="2">
        <f t="shared" si="320"/>
        <v>84.985115454117832</v>
      </c>
      <c r="AA994" s="2">
        <f t="shared" si="320"/>
        <v>69.563092773614812</v>
      </c>
      <c r="AB994" s="2">
        <f t="shared" si="320"/>
        <v>0</v>
      </c>
      <c r="AC994" s="2">
        <f t="shared" si="320"/>
        <v>0</v>
      </c>
      <c r="AD994" s="2">
        <f t="shared" si="320"/>
        <v>0</v>
      </c>
      <c r="AE994" s="2">
        <f t="shared" si="320"/>
        <v>0</v>
      </c>
      <c r="AF994" s="2"/>
    </row>
    <row r="995" spans="1:33">
      <c r="B995" s="5" t="s">
        <v>163</v>
      </c>
      <c r="C995" s="11"/>
      <c r="D995" t="s">
        <v>170</v>
      </c>
      <c r="E995" s="12"/>
      <c r="F995" s="18"/>
      <c r="G995" s="2" t="s">
        <v>860</v>
      </c>
      <c r="I995" s="2" t="s">
        <v>867</v>
      </c>
      <c r="K995" s="9"/>
      <c r="AF995" s="2"/>
    </row>
    <row r="996" spans="1:33">
      <c r="A996" s="11" t="s">
        <v>568</v>
      </c>
      <c r="B996" t="s">
        <v>883</v>
      </c>
      <c r="C996" s="11"/>
      <c r="E996" s="12"/>
      <c r="F996" s="18"/>
      <c r="G996" s="2" t="s">
        <v>171</v>
      </c>
      <c r="H996" s="2"/>
      <c r="J996" t="s">
        <v>868</v>
      </c>
      <c r="AF996" s="2"/>
    </row>
    <row r="997" spans="1:33">
      <c r="A997" s="11"/>
      <c r="B997" t="s">
        <v>172</v>
      </c>
      <c r="C997" s="11"/>
      <c r="E997" s="12"/>
      <c r="F997" s="18"/>
      <c r="G997" s="19"/>
      <c r="I997" s="12" t="s">
        <v>858</v>
      </c>
      <c r="K997" s="11"/>
      <c r="AF997" s="2"/>
    </row>
    <row r="998" spans="1:33">
      <c r="A998" s="11"/>
      <c r="B998" s="2" t="s">
        <v>173</v>
      </c>
      <c r="C998" s="11"/>
      <c r="E998" s="12"/>
      <c r="F998" s="18"/>
      <c r="G998" s="19"/>
      <c r="H998" s="2"/>
      <c r="K998" s="11"/>
      <c r="L998" s="12"/>
      <c r="AF998" s="2"/>
    </row>
    <row r="999" spans="1:33" ht="18">
      <c r="A999" s="20" t="s">
        <v>882</v>
      </c>
      <c r="G999" s="19">
        <f>SUM(H999:AE999)/48</f>
        <v>12.295796828466949</v>
      </c>
      <c r="H999" s="2">
        <f>H$70*$V$20*H$28^2*(1-H$946*$F$16)*(1-$H$947*$F$16)</f>
        <v>4.8262969208193116</v>
      </c>
      <c r="I999" s="2">
        <f t="shared" ref="I999:AE999" si="321">I$70*$V$20*I$28^2*(1-I$946*$F$16)*(1-$H$947*$F$16)</f>
        <v>18.315658239922794</v>
      </c>
      <c r="J999" s="2">
        <f t="shared" si="321"/>
        <v>35.186428475888349</v>
      </c>
      <c r="K999" s="2">
        <f t="shared" si="321"/>
        <v>52.425847312110221</v>
      </c>
      <c r="L999" s="2">
        <f t="shared" si="321"/>
        <v>69.563092773614812</v>
      </c>
      <c r="M999" s="2">
        <f t="shared" si="321"/>
        <v>84.985115454117832</v>
      </c>
      <c r="N999" s="2">
        <f t="shared" si="321"/>
        <v>99.270795827231638</v>
      </c>
      <c r="O999" s="2">
        <f t="shared" si="321"/>
        <v>111.33693968841159</v>
      </c>
      <c r="P999" s="2">
        <f t="shared" si="321"/>
        <v>0.30413432500109638</v>
      </c>
      <c r="Q999" s="2">
        <f t="shared" si="321"/>
        <v>0.32408701492586756</v>
      </c>
      <c r="R999" s="2">
        <f t="shared" si="321"/>
        <v>0.33754136862328715</v>
      </c>
      <c r="S999" s="2">
        <f t="shared" si="321"/>
        <v>0.34471342454871318</v>
      </c>
      <c r="T999" s="2">
        <f t="shared" si="321"/>
        <v>0.34471342454871318</v>
      </c>
      <c r="U999" s="2">
        <f t="shared" si="321"/>
        <v>0.33754136862328715</v>
      </c>
      <c r="V999" s="2">
        <f t="shared" si="321"/>
        <v>0.32408701492586756</v>
      </c>
      <c r="W999" s="2">
        <f t="shared" si="321"/>
        <v>0.30413432500109638</v>
      </c>
      <c r="X999" s="2">
        <f t="shared" si="321"/>
        <v>0.27834234922102952</v>
      </c>
      <c r="Y999" s="2">
        <f t="shared" si="321"/>
        <v>0.24817698956807954</v>
      </c>
      <c r="Z999" s="2">
        <f t="shared" si="321"/>
        <v>0.21246278863529494</v>
      </c>
      <c r="AA999" s="2">
        <f t="shared" si="321"/>
        <v>0.17390773193403733</v>
      </c>
      <c r="AB999" s="2">
        <f t="shared" si="321"/>
        <v>52.425847312110221</v>
      </c>
      <c r="AC999" s="2">
        <f t="shared" si="321"/>
        <v>35.186428475888349</v>
      </c>
      <c r="AD999" s="2">
        <f t="shared" si="321"/>
        <v>18.315658239922794</v>
      </c>
      <c r="AE999" s="2">
        <f t="shared" si="321"/>
        <v>4.8262969208193116</v>
      </c>
      <c r="AF999" s="2"/>
    </row>
    <row r="1000" spans="1:33">
      <c r="A1000" s="14"/>
      <c r="B1000" s="5" t="s">
        <v>164</v>
      </c>
      <c r="G1000" s="2"/>
      <c r="H1000" s="2"/>
      <c r="I1000" s="2"/>
      <c r="J1000" s="10"/>
      <c r="K1000" s="9"/>
      <c r="AF1000" s="2"/>
    </row>
    <row r="1001" spans="1:33">
      <c r="A1001" s="11" t="s">
        <v>568</v>
      </c>
      <c r="B1001" t="s">
        <v>726</v>
      </c>
      <c r="C1001" s="11"/>
      <c r="E1001" s="12"/>
      <c r="F1001" s="18"/>
      <c r="G1001" s="2" t="s">
        <v>171</v>
      </c>
      <c r="H1001" s="2"/>
      <c r="J1001" s="11"/>
      <c r="K1001" t="s">
        <v>868</v>
      </c>
      <c r="M1001" s="10"/>
      <c r="N1001" s="10"/>
      <c r="AF1001" s="2"/>
    </row>
    <row r="1002" spans="1:33">
      <c r="A1002" s="11"/>
      <c r="B1002" t="s">
        <v>172</v>
      </c>
      <c r="C1002" s="11"/>
      <c r="E1002" s="12"/>
      <c r="F1002" s="18"/>
      <c r="G1002" s="19"/>
      <c r="H1002" s="2"/>
      <c r="J1002" s="11"/>
      <c r="M1002" s="10"/>
      <c r="N1002" s="10"/>
      <c r="AF1002" s="2"/>
    </row>
    <row r="1003" spans="1:33">
      <c r="A1003" t="s">
        <v>834</v>
      </c>
      <c r="B1003" s="5"/>
      <c r="C1003" s="11"/>
      <c r="D1003" s="5" t="s">
        <v>155</v>
      </c>
      <c r="F1003" t="s">
        <v>174</v>
      </c>
      <c r="G1003" s="97">
        <f>SUM(H1003:AE1003)/48</f>
        <v>2.173586993933132</v>
      </c>
      <c r="H1003" s="97">
        <f>H992*$H$947*$F$16</f>
        <v>0.24786189930389615</v>
      </c>
      <c r="I1003" s="97">
        <f t="shared" ref="I1003:AE1003" si="322">I992*$H$947*$F$16</f>
        <v>0.94690080659873688</v>
      </c>
      <c r="J1003" s="97">
        <f t="shared" si="322"/>
        <v>1.8270994775645808</v>
      </c>
      <c r="K1003" s="97">
        <f t="shared" si="322"/>
        <v>2.728012880023738</v>
      </c>
      <c r="L1003" s="97">
        <f t="shared" si="322"/>
        <v>3.6246585055436182</v>
      </c>
      <c r="M1003" s="97">
        <f t="shared" si="322"/>
        <v>4.431359112456196</v>
      </c>
      <c r="N1003" s="97">
        <f t="shared" si="322"/>
        <v>5.1790365457540419</v>
      </c>
      <c r="O1003" s="97">
        <f t="shared" si="322"/>
        <v>5.8104753337991069</v>
      </c>
      <c r="P1003" s="97">
        <f t="shared" si="322"/>
        <v>6.3506192176517757</v>
      </c>
      <c r="Q1003" s="97">
        <f t="shared" si="322"/>
        <v>6.7686250417748717</v>
      </c>
      <c r="R1003" s="97">
        <f t="shared" si="322"/>
        <v>7.0505625594885402</v>
      </c>
      <c r="S1003" s="97">
        <f t="shared" si="322"/>
        <v>7.2008764744360638</v>
      </c>
      <c r="T1003" s="97">
        <f t="shared" si="322"/>
        <v>7.2008764744360638</v>
      </c>
      <c r="U1003" s="97">
        <f t="shared" si="322"/>
        <v>7.0505625594885402</v>
      </c>
      <c r="V1003" s="97">
        <f t="shared" si="322"/>
        <v>6.7686250417748717</v>
      </c>
      <c r="W1003" s="97">
        <f t="shared" si="322"/>
        <v>6.3506192176517757</v>
      </c>
      <c r="X1003" s="97">
        <f t="shared" si="322"/>
        <v>5.8104753337991069</v>
      </c>
      <c r="Y1003" s="97">
        <f t="shared" si="322"/>
        <v>5.1790365457540419</v>
      </c>
      <c r="Z1003" s="97">
        <f t="shared" si="322"/>
        <v>4.431359112456196</v>
      </c>
      <c r="AA1003" s="97">
        <f t="shared" si="322"/>
        <v>3.6246585055436182</v>
      </c>
      <c r="AB1003" s="97">
        <f t="shared" si="322"/>
        <v>2.728012880023738</v>
      </c>
      <c r="AC1003" s="97">
        <f t="shared" si="322"/>
        <v>1.8270994775645808</v>
      </c>
      <c r="AD1003" s="97">
        <f t="shared" si="322"/>
        <v>0.94690080659873688</v>
      </c>
      <c r="AE1003" s="97">
        <f t="shared" si="322"/>
        <v>0.24786189930389615</v>
      </c>
      <c r="AF1003" s="28"/>
      <c r="AG1003" s="11"/>
    </row>
    <row r="1004" spans="1:33">
      <c r="A1004" t="s">
        <v>918</v>
      </c>
      <c r="B1004" s="5"/>
      <c r="C1004" s="11"/>
      <c r="D1004" s="104" t="s">
        <v>175</v>
      </c>
      <c r="G1004" s="97">
        <f>SUM(H1004:AE1004)/48</f>
        <v>1.5215108957531924</v>
      </c>
      <c r="H1004" s="97">
        <f>H1003*($V$20*(1-H$27)+$F$15*H$27)</f>
        <v>0.17350332951272729</v>
      </c>
      <c r="I1004" s="97">
        <f t="shared" ref="I1004:AE1004" si="323">I1003*($V$20*(1-I$27)+$F$15*I$27)</f>
        <v>0.66283056461911583</v>
      </c>
      <c r="J1004" s="97">
        <f t="shared" si="323"/>
        <v>1.2789696342952064</v>
      </c>
      <c r="K1004" s="97">
        <f t="shared" si="323"/>
        <v>1.9096090160166164</v>
      </c>
      <c r="L1004" s="97">
        <f t="shared" si="323"/>
        <v>2.5372609538805326</v>
      </c>
      <c r="M1004" s="97">
        <f t="shared" si="323"/>
        <v>3.1019513787193369</v>
      </c>
      <c r="N1004" s="97">
        <f t="shared" si="323"/>
        <v>3.6253255820278292</v>
      </c>
      <c r="O1004" s="97">
        <f t="shared" si="323"/>
        <v>4.0673327336593745</v>
      </c>
      <c r="P1004" s="97">
        <f t="shared" si="323"/>
        <v>4.4454334523562427</v>
      </c>
      <c r="Q1004" s="97">
        <f t="shared" si="323"/>
        <v>4.7380375292424102</v>
      </c>
      <c r="R1004" s="97">
        <f t="shared" si="323"/>
        <v>4.9353937916419781</v>
      </c>
      <c r="S1004" s="97">
        <f t="shared" si="323"/>
        <v>5.0406135321052448</v>
      </c>
      <c r="T1004" s="97">
        <f t="shared" si="323"/>
        <v>5.0406135321052448</v>
      </c>
      <c r="U1004" s="97">
        <f t="shared" si="323"/>
        <v>4.9353937916419781</v>
      </c>
      <c r="V1004" s="97">
        <f t="shared" si="323"/>
        <v>4.7380375292424102</v>
      </c>
      <c r="W1004" s="97">
        <f t="shared" si="323"/>
        <v>4.4454334523562427</v>
      </c>
      <c r="X1004" s="97">
        <f t="shared" si="323"/>
        <v>4.0673327336593745</v>
      </c>
      <c r="Y1004" s="97">
        <f t="shared" si="323"/>
        <v>3.6253255820278292</v>
      </c>
      <c r="Z1004" s="97">
        <f t="shared" si="323"/>
        <v>3.1019513787193369</v>
      </c>
      <c r="AA1004" s="97">
        <f t="shared" si="323"/>
        <v>2.5372609538805326</v>
      </c>
      <c r="AB1004" s="97">
        <f t="shared" si="323"/>
        <v>1.9096090160166164</v>
      </c>
      <c r="AC1004" s="97">
        <f t="shared" si="323"/>
        <v>1.2789696342952064</v>
      </c>
      <c r="AD1004" s="97">
        <f t="shared" si="323"/>
        <v>0.66283056461911583</v>
      </c>
      <c r="AE1004" s="97">
        <f t="shared" si="323"/>
        <v>0.17350332951272729</v>
      </c>
      <c r="AF1004" s="28"/>
      <c r="AG1004" s="11"/>
    </row>
    <row r="1005" spans="1:33">
      <c r="A1005" s="20" t="s">
        <v>835</v>
      </c>
      <c r="B1005" s="5"/>
      <c r="C1005" s="11"/>
      <c r="G1005" s="19">
        <f>SUM(H1005:AE1005)/48</f>
        <v>1.4442723877475414</v>
      </c>
      <c r="H1005" s="24">
        <f>H1004*(1-($F$16+$F$13)*$H$947)</f>
        <v>0.16469554618171017</v>
      </c>
      <c r="I1005" s="24">
        <f t="shared" ref="I1005:AE1005" si="324">I1004*(1-($F$16+$F$13)*$H$947)</f>
        <v>0.6291824034297212</v>
      </c>
      <c r="J1005" s="24">
        <f t="shared" si="324"/>
        <v>1.2140435751961731</v>
      </c>
      <c r="K1005" s="24">
        <f t="shared" si="324"/>
        <v>1.8126689601268109</v>
      </c>
      <c r="L1005" s="24">
        <f t="shared" si="324"/>
        <v>2.4084585568384043</v>
      </c>
      <c r="M1005" s="24">
        <f t="shared" si="324"/>
        <v>2.9444828406581953</v>
      </c>
      <c r="N1005" s="24">
        <f t="shared" si="324"/>
        <v>3.4412882939794041</v>
      </c>
      <c r="O1005" s="24">
        <f t="shared" si="324"/>
        <v>3.8608572409190614</v>
      </c>
      <c r="P1005" s="24">
        <f t="shared" si="324"/>
        <v>4.2197639233001043</v>
      </c>
      <c r="Q1005" s="24">
        <f t="shared" si="324"/>
        <v>4.4975141451148826</v>
      </c>
      <c r="R1005" s="24">
        <f t="shared" si="324"/>
        <v>4.6848517456068279</v>
      </c>
      <c r="S1005" s="24">
        <f t="shared" si="324"/>
        <v>4.7847300745896986</v>
      </c>
      <c r="T1005" s="24">
        <f t="shared" si="324"/>
        <v>4.7847300745896986</v>
      </c>
      <c r="U1005" s="24">
        <f t="shared" si="324"/>
        <v>4.6848517456068279</v>
      </c>
      <c r="V1005" s="24">
        <f t="shared" si="324"/>
        <v>4.4975141451148826</v>
      </c>
      <c r="W1005" s="24">
        <f t="shared" si="324"/>
        <v>4.2197639233001043</v>
      </c>
      <c r="X1005" s="24">
        <f t="shared" si="324"/>
        <v>3.8608572409190614</v>
      </c>
      <c r="Y1005" s="24">
        <f t="shared" si="324"/>
        <v>3.4412882939794041</v>
      </c>
      <c r="Z1005" s="24">
        <f t="shared" si="324"/>
        <v>2.9444828406581953</v>
      </c>
      <c r="AA1005" s="24">
        <f t="shared" si="324"/>
        <v>2.4084585568384043</v>
      </c>
      <c r="AB1005" s="24">
        <f t="shared" si="324"/>
        <v>1.8126689601268109</v>
      </c>
      <c r="AC1005" s="24">
        <f t="shared" si="324"/>
        <v>1.2140435751961731</v>
      </c>
      <c r="AD1005" s="24">
        <f t="shared" si="324"/>
        <v>0.6291824034297212</v>
      </c>
      <c r="AE1005" s="24">
        <f t="shared" si="324"/>
        <v>0.16469554618171017</v>
      </c>
      <c r="AF1005" s="28"/>
      <c r="AG1005" s="11"/>
    </row>
    <row r="1006" spans="1:33">
      <c r="A1006" s="20"/>
      <c r="B1006" s="24" t="s">
        <v>176</v>
      </c>
      <c r="C1006" s="11"/>
      <c r="G1006" s="19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  <c r="AF1006" s="28"/>
      <c r="AG1006" s="11"/>
    </row>
    <row r="1007" spans="1:33">
      <c r="A1007" s="100" t="s">
        <v>836</v>
      </c>
      <c r="B1007" s="5"/>
      <c r="C1007" s="11"/>
      <c r="G1007" s="19">
        <f>SUM(H1007:AE1007)/48</f>
        <v>4.996897283945622E-2</v>
      </c>
      <c r="H1007" s="2">
        <f>H1005^2/(H994+H999)</f>
        <v>5.6201728524168703E-3</v>
      </c>
      <c r="I1007" s="2">
        <f t="shared" ref="I1007:AE1007" si="325">I1005^2/(I994+I999)</f>
        <v>2.1613773941398306E-2</v>
      </c>
      <c r="J1007" s="2">
        <f t="shared" si="325"/>
        <v>4.188836055029295E-2</v>
      </c>
      <c r="K1007" s="2">
        <f t="shared" si="325"/>
        <v>6.2674595213422724E-2</v>
      </c>
      <c r="L1007" s="2">
        <f t="shared" si="325"/>
        <v>8.3387215673198414E-2</v>
      </c>
      <c r="M1007" s="2">
        <f t="shared" si="325"/>
        <v>0.10201761982204219</v>
      </c>
      <c r="N1007" s="2">
        <f t="shared" si="325"/>
        <v>0.11929455207440869</v>
      </c>
      <c r="O1007" s="2">
        <f t="shared" si="325"/>
        <v>0.13388385450932822</v>
      </c>
      <c r="P1007" s="2">
        <f t="shared" si="325"/>
        <v>0.14600458664042723</v>
      </c>
      <c r="Q1007" s="2">
        <f t="shared" si="325"/>
        <v>0.15564639726348478</v>
      </c>
      <c r="R1007" s="2">
        <f t="shared" si="325"/>
        <v>0.16215125874650849</v>
      </c>
      <c r="S1007" s="2">
        <f t="shared" si="325"/>
        <v>0.16561982275787474</v>
      </c>
      <c r="T1007" s="2">
        <f t="shared" si="325"/>
        <v>0.16561982275787474</v>
      </c>
      <c r="U1007" s="2">
        <f t="shared" si="325"/>
        <v>0.16215125874650849</v>
      </c>
      <c r="V1007" s="2">
        <f t="shared" si="325"/>
        <v>0.15564639726348478</v>
      </c>
      <c r="W1007" s="2">
        <f t="shared" si="325"/>
        <v>0.14600458664042723</v>
      </c>
      <c r="X1007" s="2">
        <f t="shared" si="325"/>
        <v>0.13354997956042713</v>
      </c>
      <c r="Y1007" s="2">
        <f t="shared" si="325"/>
        <v>0.11899705942584407</v>
      </c>
      <c r="Z1007" s="2">
        <f t="shared" si="325"/>
        <v>0.10176321179256079</v>
      </c>
      <c r="AA1007" s="2">
        <f t="shared" si="325"/>
        <v>8.3179267504437326E-2</v>
      </c>
      <c r="AB1007" s="2">
        <f t="shared" si="325"/>
        <v>6.2674595213422724E-2</v>
      </c>
      <c r="AC1007" s="2">
        <f t="shared" si="325"/>
        <v>4.188836055029295E-2</v>
      </c>
      <c r="AD1007" s="2">
        <f t="shared" si="325"/>
        <v>2.1613773941398306E-2</v>
      </c>
      <c r="AE1007" s="2">
        <f t="shared" si="325"/>
        <v>5.6201728524168703E-3</v>
      </c>
      <c r="AF1007" s="28"/>
      <c r="AG1007" s="11"/>
    </row>
    <row r="1008" spans="1:33" ht="18">
      <c r="A1008" s="100"/>
      <c r="B1008" s="24" t="s">
        <v>177</v>
      </c>
      <c r="C1008" s="11"/>
      <c r="G1008" s="19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8"/>
      <c r="AG1008" s="11"/>
    </row>
    <row r="1009" spans="1:33" ht="18">
      <c r="A1009" s="20" t="s">
        <v>890</v>
      </c>
      <c r="G1009" s="19">
        <f>(SUM(H1009:AE1009)+24*$V$24*(1-$H$947))/48</f>
        <v>198.58238205443172</v>
      </c>
      <c r="H1009" s="2">
        <f>$V$24*(1-H$27)*(1-$H$947)</f>
        <v>264.77650940590894</v>
      </c>
      <c r="I1009" s="2">
        <f t="shared" ref="I1009:AE1009" si="326">$V$24*(1-I$27)*(1-$H$947)</f>
        <v>264.77650940590894</v>
      </c>
      <c r="J1009" s="2">
        <f t="shared" si="326"/>
        <v>264.77650940590894</v>
      </c>
      <c r="K1009" s="2">
        <f t="shared" si="326"/>
        <v>264.77650940590894</v>
      </c>
      <c r="L1009" s="2">
        <f t="shared" si="326"/>
        <v>264.77650940590894</v>
      </c>
      <c r="M1009" s="2">
        <f t="shared" si="326"/>
        <v>264.77650940590894</v>
      </c>
      <c r="N1009" s="2">
        <f t="shared" si="326"/>
        <v>264.77650940590894</v>
      </c>
      <c r="O1009" s="2">
        <f t="shared" si="326"/>
        <v>264.77650940590894</v>
      </c>
      <c r="P1009" s="2">
        <f t="shared" si="326"/>
        <v>0</v>
      </c>
      <c r="Q1009" s="2">
        <f t="shared" si="326"/>
        <v>0</v>
      </c>
      <c r="R1009" s="2">
        <f t="shared" si="326"/>
        <v>0</v>
      </c>
      <c r="S1009" s="2">
        <f t="shared" si="326"/>
        <v>0</v>
      </c>
      <c r="T1009" s="2">
        <f t="shared" si="326"/>
        <v>0</v>
      </c>
      <c r="U1009" s="2">
        <f t="shared" si="326"/>
        <v>0</v>
      </c>
      <c r="V1009" s="2">
        <f t="shared" si="326"/>
        <v>0</v>
      </c>
      <c r="W1009" s="2">
        <f t="shared" si="326"/>
        <v>0</v>
      </c>
      <c r="X1009" s="2">
        <f t="shared" si="326"/>
        <v>0</v>
      </c>
      <c r="Y1009" s="2">
        <f t="shared" si="326"/>
        <v>0</v>
      </c>
      <c r="Z1009" s="2">
        <f t="shared" si="326"/>
        <v>0</v>
      </c>
      <c r="AA1009" s="2">
        <f t="shared" si="326"/>
        <v>0</v>
      </c>
      <c r="AB1009" s="2">
        <f t="shared" si="326"/>
        <v>264.77650940590894</v>
      </c>
      <c r="AC1009" s="2">
        <f t="shared" si="326"/>
        <v>264.77650940590894</v>
      </c>
      <c r="AD1009" s="2">
        <f t="shared" si="326"/>
        <v>264.77650940590894</v>
      </c>
      <c r="AE1009" s="2">
        <f t="shared" si="326"/>
        <v>264.77650940590894</v>
      </c>
      <c r="AF1009" s="2"/>
    </row>
    <row r="1010" spans="1:33">
      <c r="A1010" s="14"/>
      <c r="B1010" s="5" t="s">
        <v>178</v>
      </c>
      <c r="D1010" t="s">
        <v>179</v>
      </c>
      <c r="E1010" s="12"/>
      <c r="F1010" s="6"/>
      <c r="G1010" s="2" t="s">
        <v>860</v>
      </c>
      <c r="I1010" s="2" t="s">
        <v>180</v>
      </c>
      <c r="J1010" s="10"/>
      <c r="K1010" s="9"/>
      <c r="AF1010" s="2"/>
    </row>
    <row r="1011" spans="1:33" ht="18">
      <c r="A1011" s="20" t="s">
        <v>891</v>
      </c>
      <c r="D1011" s="105" t="s">
        <v>892</v>
      </c>
      <c r="E1011">
        <f>$F$7</f>
        <v>-5</v>
      </c>
      <c r="F1011" s="5" t="s">
        <v>893</v>
      </c>
      <c r="G1011" s="19">
        <f>SUM(H1011:AE1011)/48</f>
        <v>66.194127351477249</v>
      </c>
      <c r="H1011" s="2">
        <f>$M$9*($F$7+273)^4*H$27*(1-$H$947)</f>
        <v>0</v>
      </c>
      <c r="I1011" s="2">
        <f t="shared" ref="I1011:AE1011" si="327">$M$9*($F$7+273)^4*I$27*(1-$H$947)</f>
        <v>0</v>
      </c>
      <c r="J1011" s="2">
        <f t="shared" si="327"/>
        <v>0</v>
      </c>
      <c r="K1011" s="2">
        <f t="shared" si="327"/>
        <v>0</v>
      </c>
      <c r="L1011" s="2">
        <f t="shared" si="327"/>
        <v>0</v>
      </c>
      <c r="M1011" s="2">
        <f t="shared" si="327"/>
        <v>0</v>
      </c>
      <c r="N1011" s="2">
        <f t="shared" si="327"/>
        <v>0</v>
      </c>
      <c r="O1011" s="2">
        <f t="shared" si="327"/>
        <v>0</v>
      </c>
      <c r="P1011" s="2">
        <f t="shared" si="327"/>
        <v>264.77650940590894</v>
      </c>
      <c r="Q1011" s="2">
        <f t="shared" si="327"/>
        <v>264.77650940590894</v>
      </c>
      <c r="R1011" s="2">
        <f t="shared" si="327"/>
        <v>264.77650940590894</v>
      </c>
      <c r="S1011" s="2">
        <f t="shared" si="327"/>
        <v>264.77650940590894</v>
      </c>
      <c r="T1011" s="2">
        <f t="shared" si="327"/>
        <v>264.77650940590894</v>
      </c>
      <c r="U1011" s="2">
        <f t="shared" si="327"/>
        <v>264.77650940590894</v>
      </c>
      <c r="V1011" s="2">
        <f t="shared" si="327"/>
        <v>264.77650940590894</v>
      </c>
      <c r="W1011" s="2">
        <f t="shared" si="327"/>
        <v>264.77650940590894</v>
      </c>
      <c r="X1011" s="2">
        <f t="shared" si="327"/>
        <v>264.77650940590894</v>
      </c>
      <c r="Y1011" s="2">
        <f t="shared" si="327"/>
        <v>264.77650940590894</v>
      </c>
      <c r="Z1011" s="2">
        <f t="shared" si="327"/>
        <v>264.77650940590894</v>
      </c>
      <c r="AA1011" s="2">
        <f t="shared" si="327"/>
        <v>264.77650940590894</v>
      </c>
      <c r="AB1011" s="2">
        <f t="shared" si="327"/>
        <v>0</v>
      </c>
      <c r="AC1011" s="2">
        <f t="shared" si="327"/>
        <v>0</v>
      </c>
      <c r="AD1011" s="2">
        <f t="shared" si="327"/>
        <v>0</v>
      </c>
      <c r="AE1011" s="2">
        <f t="shared" si="327"/>
        <v>0</v>
      </c>
      <c r="AF1011" s="2"/>
    </row>
    <row r="1012" spans="1:33">
      <c r="A1012" s="14"/>
      <c r="B1012" t="s">
        <v>181</v>
      </c>
      <c r="D1012" t="s">
        <v>744</v>
      </c>
      <c r="E1012" s="30"/>
      <c r="F1012" t="s">
        <v>618</v>
      </c>
      <c r="H1012" s="2" t="s">
        <v>860</v>
      </c>
      <c r="I1012" s="2"/>
      <c r="J1012" s="2" t="s">
        <v>182</v>
      </c>
      <c r="K1012" s="9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</row>
    <row r="1013" spans="1:33">
      <c r="A1013" s="20" t="s">
        <v>914</v>
      </c>
      <c r="B1013" s="11"/>
      <c r="C1013" s="11"/>
      <c r="D1013" s="11"/>
      <c r="E1013" s="27"/>
      <c r="F1013" s="6"/>
      <c r="G1013" s="19">
        <f>SUM(H1013:AE1013)/24</f>
        <v>12.551783676120003</v>
      </c>
      <c r="H1013" s="24">
        <f t="shared" ref="H1013:AE1013" si="328">$M$9*($F$9+273)^4*$F$11*$H$18</f>
        <v>12.551783676119999</v>
      </c>
      <c r="I1013" s="24">
        <f t="shared" si="328"/>
        <v>12.551783676119999</v>
      </c>
      <c r="J1013" s="24">
        <f t="shared" si="328"/>
        <v>12.551783676119999</v>
      </c>
      <c r="K1013" s="24">
        <f t="shared" si="328"/>
        <v>12.551783676119999</v>
      </c>
      <c r="L1013" s="24">
        <f t="shared" si="328"/>
        <v>12.551783676119999</v>
      </c>
      <c r="M1013" s="24">
        <f t="shared" si="328"/>
        <v>12.551783676119999</v>
      </c>
      <c r="N1013" s="24">
        <f t="shared" si="328"/>
        <v>12.551783676119999</v>
      </c>
      <c r="O1013" s="24">
        <f t="shared" si="328"/>
        <v>12.551783676119999</v>
      </c>
      <c r="P1013" s="24">
        <f t="shared" si="328"/>
        <v>12.551783676119999</v>
      </c>
      <c r="Q1013" s="24">
        <f t="shared" si="328"/>
        <v>12.551783676119999</v>
      </c>
      <c r="R1013" s="24">
        <f t="shared" si="328"/>
        <v>12.551783676119999</v>
      </c>
      <c r="S1013" s="24">
        <f t="shared" si="328"/>
        <v>12.551783676119999</v>
      </c>
      <c r="T1013" s="24">
        <f t="shared" si="328"/>
        <v>12.551783676119999</v>
      </c>
      <c r="U1013" s="24">
        <f t="shared" si="328"/>
        <v>12.551783676119999</v>
      </c>
      <c r="V1013" s="24">
        <f t="shared" si="328"/>
        <v>12.551783676119999</v>
      </c>
      <c r="W1013" s="24">
        <f t="shared" si="328"/>
        <v>12.551783676119999</v>
      </c>
      <c r="X1013" s="24">
        <f t="shared" si="328"/>
        <v>12.551783676119999</v>
      </c>
      <c r="Y1013" s="24">
        <f t="shared" si="328"/>
        <v>12.551783676119999</v>
      </c>
      <c r="Z1013" s="24">
        <f t="shared" si="328"/>
        <v>12.551783676119999</v>
      </c>
      <c r="AA1013" s="24">
        <f t="shared" si="328"/>
        <v>12.551783676119999</v>
      </c>
      <c r="AB1013" s="24">
        <f t="shared" si="328"/>
        <v>12.551783676119999</v>
      </c>
      <c r="AC1013" s="24">
        <f t="shared" si="328"/>
        <v>12.551783676119999</v>
      </c>
      <c r="AD1013" s="24">
        <f t="shared" si="328"/>
        <v>12.551783676119999</v>
      </c>
      <c r="AE1013" s="24">
        <f t="shared" si="328"/>
        <v>12.551783676119999</v>
      </c>
      <c r="AF1013" s="28"/>
      <c r="AG1013" s="11"/>
    </row>
    <row r="1014" spans="1:33">
      <c r="A1014" s="20"/>
      <c r="B1014" s="5" t="s">
        <v>272</v>
      </c>
      <c r="C1014" s="11"/>
      <c r="D1014" t="s">
        <v>743</v>
      </c>
      <c r="E1014" s="27"/>
      <c r="F1014" s="6"/>
      <c r="G1014" s="28"/>
      <c r="H1014" t="s">
        <v>717</v>
      </c>
      <c r="I1014" s="29"/>
      <c r="J1014" s="11"/>
      <c r="K1014" s="2" t="s">
        <v>273</v>
      </c>
      <c r="L1014" s="11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11"/>
    </row>
    <row r="1015" spans="1:33">
      <c r="A1015" s="20"/>
      <c r="B1015" s="27" t="s">
        <v>925</v>
      </c>
      <c r="C1015" s="11" t="s">
        <v>266</v>
      </c>
      <c r="E1015" s="27"/>
      <c r="F1015" s="6"/>
      <c r="G1015" s="28"/>
      <c r="I1015" s="29"/>
      <c r="J1015" s="11"/>
      <c r="K1015" s="2"/>
      <c r="L1015" s="11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  <c r="AG1015" s="11"/>
    </row>
    <row r="1016" spans="1:33">
      <c r="A1016" s="20"/>
      <c r="B1016" s="14"/>
      <c r="C1016" t="s">
        <v>274</v>
      </c>
      <c r="E1016" s="27"/>
      <c r="F1016" s="6"/>
      <c r="G1016" s="28"/>
      <c r="I1016" s="29"/>
      <c r="J1016" s="11"/>
      <c r="K1016" s="2"/>
      <c r="L1016" s="11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11"/>
    </row>
    <row r="1017" spans="1:33">
      <c r="A1017" s="3"/>
      <c r="B1017" s="16" t="s">
        <v>333</v>
      </c>
      <c r="E1017" s="12"/>
      <c r="F1017" s="6"/>
      <c r="G1017" s="32">
        <f>G988+G994+G999+G1005+G1007+G1009+G1011+G1013</f>
        <v>333.41405108237797</v>
      </c>
      <c r="H1017" s="2"/>
      <c r="I1017" s="29"/>
      <c r="K1017" s="10"/>
      <c r="L1017" s="3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</row>
    <row r="1018" spans="1:33">
      <c r="A1018" s="20"/>
      <c r="B1018" s="16" t="s">
        <v>725</v>
      </c>
      <c r="E1018" s="30"/>
      <c r="F1018" s="6"/>
      <c r="G1018" s="32">
        <f>G985-G1017</f>
        <v>13.567884359155585</v>
      </c>
      <c r="H1018" s="33"/>
      <c r="I1018" s="86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</row>
    <row r="1019" spans="1:33">
      <c r="A1019" s="39" t="s">
        <v>513</v>
      </c>
      <c r="B1019" s="16"/>
      <c r="E1019" s="30"/>
      <c r="F1019" s="12"/>
      <c r="G1019" s="32"/>
      <c r="H1019" s="33"/>
      <c r="I1019" s="3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</row>
    <row r="1020" spans="1:33">
      <c r="A1020" s="3" t="s">
        <v>977</v>
      </c>
      <c r="E1020" s="12"/>
      <c r="F1020" s="6"/>
      <c r="G1020" s="87" t="s">
        <v>535</v>
      </c>
      <c r="H1020" s="21"/>
      <c r="I1020" s="2"/>
      <c r="J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</row>
    <row r="1021" spans="1:33">
      <c r="A1021" s="20" t="s">
        <v>935</v>
      </c>
      <c r="B1021" s="11"/>
      <c r="C1021" s="11"/>
      <c r="E1021" s="14" t="s">
        <v>563</v>
      </c>
      <c r="F1021" s="31">
        <f>$F$15</f>
        <v>0.7</v>
      </c>
      <c r="G1021" s="19">
        <f>SUM(H1021:AE1021)/48</f>
        <v>52.846322665026754</v>
      </c>
      <c r="H1021" s="2">
        <f>H$70*$F$15</f>
        <v>10.020450220835597</v>
      </c>
      <c r="I1021" s="2">
        <f t="shared" ref="I1021:AE1021" si="329">I$70*$F$15</f>
        <v>31.726190199980788</v>
      </c>
      <c r="J1021" s="2">
        <f t="shared" si="329"/>
        <v>52.915340386874881</v>
      </c>
      <c r="K1021" s="2">
        <f t="shared" si="329"/>
        <v>73.079396879507115</v>
      </c>
      <c r="L1021" s="2">
        <f t="shared" si="329"/>
        <v>92.047278337569892</v>
      </c>
      <c r="M1021" s="2">
        <f t="shared" si="329"/>
        <v>109.31971760617094</v>
      </c>
      <c r="N1021" s="2">
        <f t="shared" si="329"/>
        <v>124.90051333536734</v>
      </c>
      <c r="O1021" s="2">
        <f t="shared" si="329"/>
        <v>138.13444873783126</v>
      </c>
      <c r="P1021" s="2">
        <f t="shared" si="329"/>
        <v>149.197255963016</v>
      </c>
      <c r="Q1021" s="2">
        <f t="shared" si="329"/>
        <v>157.60460421926157</v>
      </c>
      <c r="R1021" s="2">
        <f t="shared" si="329"/>
        <v>163.20260686474126</v>
      </c>
      <c r="S1021" s="2">
        <f t="shared" si="329"/>
        <v>166.16394120948561</v>
      </c>
      <c r="T1021" s="2">
        <f t="shared" si="329"/>
        <v>166.16394120948561</v>
      </c>
      <c r="U1021" s="2">
        <f t="shared" si="329"/>
        <v>163.20260686474126</v>
      </c>
      <c r="V1021" s="2">
        <f t="shared" si="329"/>
        <v>157.60460421926157</v>
      </c>
      <c r="W1021" s="2">
        <f t="shared" si="329"/>
        <v>149.197255963016</v>
      </c>
      <c r="X1021" s="2">
        <f t="shared" si="329"/>
        <v>138.13444873783126</v>
      </c>
      <c r="Y1021" s="2">
        <f t="shared" si="329"/>
        <v>124.90051333536734</v>
      </c>
      <c r="Z1021" s="2">
        <f t="shared" si="329"/>
        <v>109.31971760617094</v>
      </c>
      <c r="AA1021" s="2">
        <f t="shared" si="329"/>
        <v>92.047278337569892</v>
      </c>
      <c r="AB1021" s="2">
        <f t="shared" si="329"/>
        <v>73.079396879507115</v>
      </c>
      <c r="AC1021" s="2">
        <f t="shared" si="329"/>
        <v>52.915340386874881</v>
      </c>
      <c r="AD1021" s="2">
        <f t="shared" si="329"/>
        <v>31.726190199980788</v>
      </c>
      <c r="AE1021" s="2">
        <f t="shared" si="329"/>
        <v>10.020450220835597</v>
      </c>
      <c r="AF1021" s="28"/>
      <c r="AG1021" s="11"/>
    </row>
    <row r="1022" spans="1:33">
      <c r="A1022" s="3"/>
      <c r="B1022" s="5" t="s">
        <v>183</v>
      </c>
      <c r="C1022" s="11"/>
      <c r="D1022" t="s">
        <v>166</v>
      </c>
      <c r="F1022" s="27"/>
      <c r="G1022" s="2"/>
      <c r="H1022" s="2" t="s">
        <v>1019</v>
      </c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8"/>
      <c r="AG1022" s="11"/>
    </row>
    <row r="1023" spans="1:33">
      <c r="A1023" s="20" t="s">
        <v>936</v>
      </c>
      <c r="B1023" s="11"/>
      <c r="C1023" s="11"/>
      <c r="D1023" s="24" t="s">
        <v>1013</v>
      </c>
      <c r="E1023" s="27"/>
      <c r="F1023" s="6" t="s">
        <v>1049</v>
      </c>
      <c r="G1023" s="19">
        <f>SUM(H1023:AE1023)/24</f>
        <v>294.0451576320001</v>
      </c>
      <c r="H1023" s="2">
        <f>$M$9*($F$7+273)^4</f>
        <v>294.04515763199998</v>
      </c>
      <c r="I1023" s="2">
        <f t="shared" ref="I1023:AE1023" si="330">$M$9*($F$7+273)^4</f>
        <v>294.04515763199998</v>
      </c>
      <c r="J1023" s="2">
        <f t="shared" si="330"/>
        <v>294.04515763199998</v>
      </c>
      <c r="K1023" s="2">
        <f t="shared" si="330"/>
        <v>294.04515763199998</v>
      </c>
      <c r="L1023" s="2">
        <f t="shared" si="330"/>
        <v>294.04515763199998</v>
      </c>
      <c r="M1023" s="2">
        <f t="shared" si="330"/>
        <v>294.04515763199998</v>
      </c>
      <c r="N1023" s="2">
        <f t="shared" si="330"/>
        <v>294.04515763199998</v>
      </c>
      <c r="O1023" s="2">
        <f t="shared" si="330"/>
        <v>294.04515763199998</v>
      </c>
      <c r="P1023" s="2">
        <f t="shared" si="330"/>
        <v>294.04515763199998</v>
      </c>
      <c r="Q1023" s="2">
        <f t="shared" si="330"/>
        <v>294.04515763199998</v>
      </c>
      <c r="R1023" s="2">
        <f t="shared" si="330"/>
        <v>294.04515763199998</v>
      </c>
      <c r="S1023" s="2">
        <f t="shared" si="330"/>
        <v>294.04515763199998</v>
      </c>
      <c r="T1023" s="2">
        <f t="shared" si="330"/>
        <v>294.04515763199998</v>
      </c>
      <c r="U1023" s="2">
        <f t="shared" si="330"/>
        <v>294.04515763199998</v>
      </c>
      <c r="V1023" s="2">
        <f t="shared" si="330"/>
        <v>294.04515763199998</v>
      </c>
      <c r="W1023" s="2">
        <f t="shared" si="330"/>
        <v>294.04515763199998</v>
      </c>
      <c r="X1023" s="2">
        <f t="shared" si="330"/>
        <v>294.04515763199998</v>
      </c>
      <c r="Y1023" s="2">
        <f t="shared" si="330"/>
        <v>294.04515763199998</v>
      </c>
      <c r="Z1023" s="2">
        <f t="shared" si="330"/>
        <v>294.04515763199998</v>
      </c>
      <c r="AA1023" s="2">
        <f t="shared" si="330"/>
        <v>294.04515763199998</v>
      </c>
      <c r="AB1023" s="2">
        <f t="shared" si="330"/>
        <v>294.04515763199998</v>
      </c>
      <c r="AC1023" s="2">
        <f t="shared" si="330"/>
        <v>294.04515763199998</v>
      </c>
      <c r="AD1023" s="2">
        <f t="shared" si="330"/>
        <v>294.04515763199998</v>
      </c>
      <c r="AE1023" s="2">
        <f t="shared" si="330"/>
        <v>294.04515763199998</v>
      </c>
      <c r="AF1023" s="28"/>
      <c r="AG1023" s="11"/>
    </row>
    <row r="1024" spans="1:33">
      <c r="A1024" s="20"/>
      <c r="B1024" s="16" t="s">
        <v>729</v>
      </c>
      <c r="C1024" s="11"/>
      <c r="D1024" s="11"/>
      <c r="E1024" s="21"/>
      <c r="F1024" s="21"/>
      <c r="G1024" s="82">
        <f>G1021+G1023</f>
        <v>346.89148029702687</v>
      </c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28"/>
      <c r="AG1024" s="11"/>
    </row>
    <row r="1025" spans="1:33">
      <c r="A1025" s="39" t="s">
        <v>513</v>
      </c>
      <c r="B1025" s="16"/>
      <c r="C1025" s="11"/>
      <c r="D1025" s="11"/>
      <c r="E1025" s="21"/>
      <c r="F1025" s="21"/>
      <c r="G1025" s="82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  <c r="AF1025" s="28"/>
      <c r="AG1025" s="11"/>
    </row>
    <row r="1026" spans="1:33">
      <c r="A1026" s="3" t="s">
        <v>325</v>
      </c>
      <c r="B1026" s="16"/>
      <c r="C1026" s="11"/>
      <c r="D1026" s="11"/>
      <c r="E1026" s="21"/>
      <c r="F1026" s="21"/>
      <c r="G1026" s="82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  <c r="AE1026" s="24"/>
      <c r="AF1026" s="28"/>
      <c r="AG1026" s="11"/>
    </row>
    <row r="1027" spans="1:33">
      <c r="A1027" s="3" t="s">
        <v>877</v>
      </c>
      <c r="G1027" s="19">
        <f>SUM(H1027:AE1027)/48</f>
        <v>12.847035431658684</v>
      </c>
      <c r="H1027" s="24">
        <f>H$70*H$946*$F$16</f>
        <v>7.0591040859043552</v>
      </c>
      <c r="I1027" s="24">
        <f t="shared" ref="I1027:AE1027" si="331">I$70*I$946*$F$16</f>
        <v>17.787482069478852</v>
      </c>
      <c r="J1027" s="24">
        <f t="shared" si="331"/>
        <v>22.694285481418746</v>
      </c>
      <c r="K1027" s="24">
        <f t="shared" si="331"/>
        <v>25.58244531521931</v>
      </c>
      <c r="L1027" s="24">
        <f t="shared" si="331"/>
        <v>26.915390487726174</v>
      </c>
      <c r="M1027" s="24">
        <f t="shared" si="331"/>
        <v>28.404930660439994</v>
      </c>
      <c r="N1027" s="24">
        <f t="shared" si="331"/>
        <v>29.186207169331517</v>
      </c>
      <c r="O1027" s="24">
        <f t="shared" si="331"/>
        <v>29.951663468838966</v>
      </c>
      <c r="P1027" s="24">
        <f t="shared" si="331"/>
        <v>30.245475342142143</v>
      </c>
      <c r="Q1027" s="24">
        <f t="shared" si="331"/>
        <v>30.257272830899613</v>
      </c>
      <c r="R1027" s="24">
        <f t="shared" si="331"/>
        <v>30.163542769009339</v>
      </c>
      <c r="S1027" s="24">
        <f t="shared" si="331"/>
        <v>30.081050679399411</v>
      </c>
      <c r="T1027" s="24">
        <f t="shared" si="331"/>
        <v>30.081050679399411</v>
      </c>
      <c r="U1027" s="24">
        <f t="shared" si="331"/>
        <v>30.163542769009339</v>
      </c>
      <c r="V1027" s="24">
        <f t="shared" si="331"/>
        <v>30.257272830899613</v>
      </c>
      <c r="W1027" s="24">
        <f t="shared" si="331"/>
        <v>30.245475342142143</v>
      </c>
      <c r="X1027" s="24">
        <f t="shared" si="331"/>
        <v>29.951663468838966</v>
      </c>
      <c r="Y1027" s="24">
        <f t="shared" si="331"/>
        <v>29.186207169331517</v>
      </c>
      <c r="Z1027" s="24">
        <f t="shared" si="331"/>
        <v>28.404930660439994</v>
      </c>
      <c r="AA1027" s="24">
        <f t="shared" si="331"/>
        <v>26.915390487726174</v>
      </c>
      <c r="AB1027" s="24">
        <f t="shared" si="331"/>
        <v>25.58244531521931</v>
      </c>
      <c r="AC1027" s="24">
        <f t="shared" si="331"/>
        <v>22.694285481418746</v>
      </c>
      <c r="AD1027" s="24">
        <f t="shared" si="331"/>
        <v>17.787482069478852</v>
      </c>
      <c r="AE1027" s="24">
        <f t="shared" si="331"/>
        <v>7.0591040859043552</v>
      </c>
      <c r="AF1027" s="28"/>
      <c r="AG1027" s="11"/>
    </row>
    <row r="1028" spans="1:33">
      <c r="B1028" s="5" t="s">
        <v>146</v>
      </c>
      <c r="D1028" t="s">
        <v>170</v>
      </c>
      <c r="G1028" t="s">
        <v>894</v>
      </c>
      <c r="J1028" s="2"/>
      <c r="K1028" s="2" t="s">
        <v>184</v>
      </c>
      <c r="L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</row>
    <row r="1029" spans="1:33">
      <c r="A1029" t="s">
        <v>879</v>
      </c>
      <c r="C1029" s="11"/>
      <c r="G1029" s="98">
        <f>SUM(H1029:AE1029)/48</f>
        <v>62.390770524032099</v>
      </c>
      <c r="H1029" s="97">
        <f>H$70*(1-($F$16+$F$13)*H$946)</f>
        <v>7.1146427192855564</v>
      </c>
      <c r="I1029" s="97">
        <f t="shared" ref="I1029:AE1029" si="332">I$70*(1-($F$16+$F$13)*I$946)</f>
        <v>27.179897146246983</v>
      </c>
      <c r="J1029" s="97">
        <f t="shared" si="332"/>
        <v>52.44517221877414</v>
      </c>
      <c r="K1029" s="97">
        <f t="shared" si="332"/>
        <v>78.305044177772189</v>
      </c>
      <c r="L1029" s="97">
        <f t="shared" si="332"/>
        <v>104.04241361333344</v>
      </c>
      <c r="M1029" s="97">
        <f t="shared" si="332"/>
        <v>127.19799587802397</v>
      </c>
      <c r="N1029" s="97">
        <f t="shared" si="332"/>
        <v>148.65937345209235</v>
      </c>
      <c r="O1029" s="97">
        <f t="shared" si="332"/>
        <v>166.78423003011463</v>
      </c>
      <c r="P1029" s="97">
        <f t="shared" si="332"/>
        <v>182.28855224103788</v>
      </c>
      <c r="Q1029" s="97">
        <f t="shared" si="332"/>
        <v>194.28701631142755</v>
      </c>
      <c r="R1029" s="97">
        <f t="shared" si="332"/>
        <v>202.37976761095516</v>
      </c>
      <c r="S1029" s="97">
        <f t="shared" si="332"/>
        <v>206.69438717770637</v>
      </c>
      <c r="T1029" s="97">
        <f t="shared" si="332"/>
        <v>206.69438717770637</v>
      </c>
      <c r="U1029" s="97">
        <f t="shared" si="332"/>
        <v>202.37976761095516</v>
      </c>
      <c r="V1029" s="97">
        <f t="shared" si="332"/>
        <v>194.28701631142755</v>
      </c>
      <c r="W1029" s="97">
        <f t="shared" si="332"/>
        <v>182.28855224103788</v>
      </c>
      <c r="X1029" s="97">
        <f t="shared" si="332"/>
        <v>166.78423003011463</v>
      </c>
      <c r="Y1029" s="97">
        <f t="shared" si="332"/>
        <v>148.65937345209235</v>
      </c>
      <c r="Z1029" s="97">
        <f t="shared" si="332"/>
        <v>127.19799587802397</v>
      </c>
      <c r="AA1029" s="97">
        <f t="shared" si="332"/>
        <v>104.04241361333344</v>
      </c>
      <c r="AB1029" s="97">
        <f t="shared" si="332"/>
        <v>78.305044177772189</v>
      </c>
      <c r="AC1029" s="97">
        <f t="shared" si="332"/>
        <v>52.44517221877414</v>
      </c>
      <c r="AD1029" s="97">
        <f t="shared" si="332"/>
        <v>27.179897146246983</v>
      </c>
      <c r="AE1029" s="97">
        <f t="shared" si="332"/>
        <v>7.1146427192855564</v>
      </c>
      <c r="AF1029" s="28"/>
      <c r="AG1029" s="11"/>
    </row>
    <row r="1030" spans="1:33">
      <c r="B1030" s="24" t="s">
        <v>150</v>
      </c>
      <c r="D1030" s="2" t="s">
        <v>149</v>
      </c>
      <c r="E1030" s="24" t="s">
        <v>880</v>
      </c>
      <c r="G1030" t="s">
        <v>853</v>
      </c>
      <c r="I1030" t="s">
        <v>168</v>
      </c>
      <c r="AF1030" s="28"/>
      <c r="AG1030" s="11"/>
    </row>
    <row r="1031" spans="1:33">
      <c r="A1031" t="s">
        <v>895</v>
      </c>
      <c r="C1031" s="11"/>
      <c r="D1031" s="24"/>
      <c r="G1031" s="97">
        <f>SUM(H1031:AE1031)/48</f>
        <v>43.673539366822467</v>
      </c>
      <c r="H1031" s="97">
        <f>H1029*$F$15</f>
        <v>4.9802499034998888</v>
      </c>
      <c r="I1031" s="97">
        <f t="shared" ref="I1031:AE1031" si="333">I1029*$F$15</f>
        <v>19.025928002372886</v>
      </c>
      <c r="J1031" s="97">
        <f t="shared" si="333"/>
        <v>36.711620553141898</v>
      </c>
      <c r="K1031" s="97">
        <f t="shared" si="333"/>
        <v>54.813530924440528</v>
      </c>
      <c r="L1031" s="97">
        <f t="shared" si="333"/>
        <v>72.829689529333407</v>
      </c>
      <c r="M1031" s="97">
        <f t="shared" si="333"/>
        <v>89.038597114616778</v>
      </c>
      <c r="N1031" s="97">
        <f t="shared" si="333"/>
        <v>104.06156141646464</v>
      </c>
      <c r="O1031" s="97">
        <f t="shared" si="333"/>
        <v>116.74896102108023</v>
      </c>
      <c r="P1031" s="97">
        <f t="shared" si="333"/>
        <v>127.6019865687265</v>
      </c>
      <c r="Q1031" s="97">
        <f t="shared" si="333"/>
        <v>136.00091141799928</v>
      </c>
      <c r="R1031" s="97">
        <f t="shared" si="333"/>
        <v>141.66583732766861</v>
      </c>
      <c r="S1031" s="97">
        <f t="shared" si="333"/>
        <v>144.68607102439447</v>
      </c>
      <c r="T1031" s="97">
        <f t="shared" si="333"/>
        <v>144.68607102439447</v>
      </c>
      <c r="U1031" s="97">
        <f t="shared" si="333"/>
        <v>141.66583732766861</v>
      </c>
      <c r="V1031" s="97">
        <f t="shared" si="333"/>
        <v>136.00091141799928</v>
      </c>
      <c r="W1031" s="97">
        <f t="shared" si="333"/>
        <v>127.6019865687265</v>
      </c>
      <c r="X1031" s="97">
        <f t="shared" si="333"/>
        <v>116.74896102108023</v>
      </c>
      <c r="Y1031" s="97">
        <f t="shared" si="333"/>
        <v>104.06156141646464</v>
      </c>
      <c r="Z1031" s="97">
        <f t="shared" si="333"/>
        <v>89.038597114616778</v>
      </c>
      <c r="AA1031" s="97">
        <f t="shared" si="333"/>
        <v>72.829689529333407</v>
      </c>
      <c r="AB1031" s="97">
        <f t="shared" si="333"/>
        <v>54.813530924440528</v>
      </c>
      <c r="AC1031" s="97">
        <f t="shared" si="333"/>
        <v>36.711620553141898</v>
      </c>
      <c r="AD1031" s="97">
        <f t="shared" si="333"/>
        <v>19.025928002372886</v>
      </c>
      <c r="AE1031" s="97">
        <f t="shared" si="333"/>
        <v>4.9802499034998888</v>
      </c>
      <c r="AF1031" s="28"/>
      <c r="AG1031" s="11"/>
    </row>
    <row r="1032" spans="1:33">
      <c r="B1032" s="24" t="s">
        <v>938</v>
      </c>
      <c r="C1032" s="14" t="s">
        <v>897</v>
      </c>
      <c r="D1032" s="24" t="s">
        <v>185</v>
      </c>
      <c r="I1032" s="24"/>
      <c r="AF1032" s="28"/>
      <c r="AG1032" s="11"/>
    </row>
    <row r="1033" spans="1:33">
      <c r="A1033" s="20" t="s">
        <v>896</v>
      </c>
      <c r="B1033" s="11"/>
      <c r="C1033" s="11"/>
      <c r="E1033" s="14" t="s">
        <v>563</v>
      </c>
      <c r="F1033" s="31">
        <f>$F$15</f>
        <v>0.7</v>
      </c>
      <c r="G1033" s="19">
        <f>SUM(H1033:AE1033)/48</f>
        <v>41.456480633010663</v>
      </c>
      <c r="H1033" s="2">
        <f>H1031*(1-($F$16+$F$13)*$H$947)</f>
        <v>4.7274307662099142</v>
      </c>
      <c r="I1033" s="2">
        <f t="shared" ref="I1033:AE1033" si="334">I1031*(1-($F$16+$F$13)*$H$947)</f>
        <v>18.060089179642173</v>
      </c>
      <c r="J1033" s="2">
        <f t="shared" si="334"/>
        <v>34.847979086026022</v>
      </c>
      <c r="K1033" s="2">
        <f t="shared" si="334"/>
        <v>52.030957786816309</v>
      </c>
      <c r="L1033" s="2">
        <f t="shared" si="334"/>
        <v>69.132537853678912</v>
      </c>
      <c r="M1033" s="2">
        <f t="shared" si="334"/>
        <v>84.518610819911459</v>
      </c>
      <c r="N1033" s="2">
        <f t="shared" si="334"/>
        <v>98.778944139795513</v>
      </c>
      <c r="O1033" s="2">
        <f t="shared" si="334"/>
        <v>110.82227618060514</v>
      </c>
      <c r="P1033" s="2">
        <f t="shared" si="334"/>
        <v>121.12435496672168</v>
      </c>
      <c r="Q1033" s="2">
        <f t="shared" si="334"/>
        <v>129.09691387538891</v>
      </c>
      <c r="R1033" s="2">
        <f t="shared" si="334"/>
        <v>134.47426351699031</v>
      </c>
      <c r="S1033" s="2">
        <f t="shared" si="334"/>
        <v>137.34117702046967</v>
      </c>
      <c r="T1033" s="2">
        <f t="shared" si="334"/>
        <v>137.34117702046967</v>
      </c>
      <c r="U1033" s="2">
        <f t="shared" si="334"/>
        <v>134.47426351699031</v>
      </c>
      <c r="V1033" s="2">
        <f t="shared" si="334"/>
        <v>129.09691387538891</v>
      </c>
      <c r="W1033" s="2">
        <f t="shared" si="334"/>
        <v>121.12435496672168</v>
      </c>
      <c r="X1033" s="2">
        <f t="shared" si="334"/>
        <v>110.82227618060514</v>
      </c>
      <c r="Y1033" s="2">
        <f t="shared" si="334"/>
        <v>98.778944139795513</v>
      </c>
      <c r="Z1033" s="2">
        <f t="shared" si="334"/>
        <v>84.518610819911459</v>
      </c>
      <c r="AA1033" s="2">
        <f t="shared" si="334"/>
        <v>69.132537853678912</v>
      </c>
      <c r="AB1033" s="2">
        <f t="shared" si="334"/>
        <v>52.030957786816309</v>
      </c>
      <c r="AC1033" s="2">
        <f t="shared" si="334"/>
        <v>34.847979086026022</v>
      </c>
      <c r="AD1033" s="2">
        <f t="shared" si="334"/>
        <v>18.060089179642173</v>
      </c>
      <c r="AE1033" s="2">
        <f t="shared" si="334"/>
        <v>4.7274307662099142</v>
      </c>
      <c r="AF1033" s="28"/>
      <c r="AG1033" s="11"/>
    </row>
    <row r="1034" spans="1:33">
      <c r="A1034" s="3"/>
      <c r="B1034" s="5" t="s">
        <v>186</v>
      </c>
      <c r="C1034" s="11"/>
      <c r="D1034" t="s">
        <v>154</v>
      </c>
      <c r="F1034" s="27"/>
      <c r="G1034" s="2"/>
      <c r="H1034" s="2" t="s">
        <v>898</v>
      </c>
      <c r="I1034" s="2"/>
      <c r="J1034" s="2" t="s">
        <v>899</v>
      </c>
      <c r="K1034" s="2"/>
      <c r="L1034" t="s">
        <v>265</v>
      </c>
      <c r="M1034" s="2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  <c r="AG1034" s="11"/>
    </row>
    <row r="1035" spans="1:33">
      <c r="A1035" t="s">
        <v>834</v>
      </c>
      <c r="B1035" s="5"/>
      <c r="C1035" s="11"/>
      <c r="D1035" s="5" t="s">
        <v>155</v>
      </c>
      <c r="F1035" t="s">
        <v>187</v>
      </c>
      <c r="G1035" s="97">
        <f>SUM(H1035:AE1035)/48</f>
        <v>2.173586993933132</v>
      </c>
      <c r="H1035" s="97">
        <f>H1031*$H$947*$F$16</f>
        <v>0.24786189930389615</v>
      </c>
      <c r="I1035" s="97">
        <f t="shared" ref="I1035:AE1035" si="335">I1031*$H$947*$F$16</f>
        <v>0.94690080659873688</v>
      </c>
      <c r="J1035" s="97">
        <f t="shared" si="335"/>
        <v>1.8270994775645808</v>
      </c>
      <c r="K1035" s="97">
        <f t="shared" si="335"/>
        <v>2.728012880023738</v>
      </c>
      <c r="L1035" s="97">
        <f t="shared" si="335"/>
        <v>3.6246585055436182</v>
      </c>
      <c r="M1035" s="97">
        <f t="shared" si="335"/>
        <v>4.431359112456196</v>
      </c>
      <c r="N1035" s="97">
        <f t="shared" si="335"/>
        <v>5.1790365457540419</v>
      </c>
      <c r="O1035" s="97">
        <f t="shared" si="335"/>
        <v>5.8104753337991069</v>
      </c>
      <c r="P1035" s="97">
        <f t="shared" si="335"/>
        <v>6.3506192176517757</v>
      </c>
      <c r="Q1035" s="97">
        <f t="shared" si="335"/>
        <v>6.7686250417748717</v>
      </c>
      <c r="R1035" s="97">
        <f t="shared" si="335"/>
        <v>7.0505625594885402</v>
      </c>
      <c r="S1035" s="97">
        <f t="shared" si="335"/>
        <v>7.2008764744360638</v>
      </c>
      <c r="T1035" s="97">
        <f t="shared" si="335"/>
        <v>7.2008764744360638</v>
      </c>
      <c r="U1035" s="97">
        <f t="shared" si="335"/>
        <v>7.0505625594885402</v>
      </c>
      <c r="V1035" s="97">
        <f t="shared" si="335"/>
        <v>6.7686250417748717</v>
      </c>
      <c r="W1035" s="97">
        <f t="shared" si="335"/>
        <v>6.3506192176517757</v>
      </c>
      <c r="X1035" s="97">
        <f t="shared" si="335"/>
        <v>5.8104753337991069</v>
      </c>
      <c r="Y1035" s="97">
        <f t="shared" si="335"/>
        <v>5.1790365457540419</v>
      </c>
      <c r="Z1035" s="97">
        <f t="shared" si="335"/>
        <v>4.431359112456196</v>
      </c>
      <c r="AA1035" s="97">
        <f t="shared" si="335"/>
        <v>3.6246585055436182</v>
      </c>
      <c r="AB1035" s="97">
        <f t="shared" si="335"/>
        <v>2.728012880023738</v>
      </c>
      <c r="AC1035" s="97">
        <f t="shared" si="335"/>
        <v>1.8270994775645808</v>
      </c>
      <c r="AD1035" s="97">
        <f t="shared" si="335"/>
        <v>0.94690080659873688</v>
      </c>
      <c r="AE1035" s="97">
        <f t="shared" si="335"/>
        <v>0.24786189930389615</v>
      </c>
      <c r="AF1035" s="28"/>
      <c r="AG1035" s="11"/>
    </row>
    <row r="1036" spans="1:33">
      <c r="A1036" t="s">
        <v>930</v>
      </c>
      <c r="B1036" s="5"/>
      <c r="C1036" s="11"/>
      <c r="D1036" s="5" t="s">
        <v>188</v>
      </c>
      <c r="G1036" s="97">
        <f>SUM(H1036:AE1036)/48</f>
        <v>1.5215108957531924</v>
      </c>
      <c r="H1036" s="97">
        <f>H1035*$F$15</f>
        <v>0.17350332951272729</v>
      </c>
      <c r="I1036" s="97">
        <f t="shared" ref="I1036:AE1036" si="336">I1035*$F$15</f>
        <v>0.66283056461911583</v>
      </c>
      <c r="J1036" s="97">
        <f t="shared" si="336"/>
        <v>1.2789696342952064</v>
      </c>
      <c r="K1036" s="97">
        <f t="shared" si="336"/>
        <v>1.9096090160166164</v>
      </c>
      <c r="L1036" s="97">
        <f t="shared" si="336"/>
        <v>2.5372609538805326</v>
      </c>
      <c r="M1036" s="97">
        <f t="shared" si="336"/>
        <v>3.1019513787193369</v>
      </c>
      <c r="N1036" s="97">
        <f t="shared" si="336"/>
        <v>3.6253255820278292</v>
      </c>
      <c r="O1036" s="97">
        <f t="shared" si="336"/>
        <v>4.0673327336593745</v>
      </c>
      <c r="P1036" s="97">
        <f t="shared" si="336"/>
        <v>4.4454334523562427</v>
      </c>
      <c r="Q1036" s="97">
        <f t="shared" si="336"/>
        <v>4.7380375292424102</v>
      </c>
      <c r="R1036" s="97">
        <f t="shared" si="336"/>
        <v>4.9353937916419781</v>
      </c>
      <c r="S1036" s="97">
        <f t="shared" si="336"/>
        <v>5.0406135321052448</v>
      </c>
      <c r="T1036" s="97">
        <f t="shared" si="336"/>
        <v>5.0406135321052448</v>
      </c>
      <c r="U1036" s="97">
        <f t="shared" si="336"/>
        <v>4.9353937916419781</v>
      </c>
      <c r="V1036" s="97">
        <f t="shared" si="336"/>
        <v>4.7380375292424102</v>
      </c>
      <c r="W1036" s="97">
        <f t="shared" si="336"/>
        <v>4.4454334523562427</v>
      </c>
      <c r="X1036" s="97">
        <f t="shared" si="336"/>
        <v>4.0673327336593745</v>
      </c>
      <c r="Y1036" s="97">
        <f t="shared" si="336"/>
        <v>3.6253255820278292</v>
      </c>
      <c r="Z1036" s="97">
        <f t="shared" si="336"/>
        <v>3.1019513787193369</v>
      </c>
      <c r="AA1036" s="97">
        <f t="shared" si="336"/>
        <v>2.5372609538805326</v>
      </c>
      <c r="AB1036" s="97">
        <f t="shared" si="336"/>
        <v>1.9096090160166164</v>
      </c>
      <c r="AC1036" s="97">
        <f t="shared" si="336"/>
        <v>1.2789696342952064</v>
      </c>
      <c r="AD1036" s="97">
        <f t="shared" si="336"/>
        <v>0.66283056461911583</v>
      </c>
      <c r="AE1036" s="97">
        <f t="shared" si="336"/>
        <v>0.17350332951272729</v>
      </c>
      <c r="AF1036" s="28"/>
      <c r="AG1036" s="11"/>
    </row>
    <row r="1037" spans="1:33">
      <c r="A1037" s="20" t="s">
        <v>835</v>
      </c>
      <c r="B1037" s="5"/>
      <c r="C1037" s="11"/>
      <c r="G1037" s="19">
        <f>SUM(H1037:AE1037)/48</f>
        <v>1.4442723877475414</v>
      </c>
      <c r="H1037" s="24">
        <f>H1036*(1-($F$16+$F$13)*$H$947)</f>
        <v>0.16469554618171017</v>
      </c>
      <c r="I1037" s="24">
        <f t="shared" ref="I1037:AE1037" si="337">I1036*(1-($F$16+$F$13)*$H$947)</f>
        <v>0.6291824034297212</v>
      </c>
      <c r="J1037" s="24">
        <f t="shared" si="337"/>
        <v>1.2140435751961731</v>
      </c>
      <c r="K1037" s="24">
        <f t="shared" si="337"/>
        <v>1.8126689601268109</v>
      </c>
      <c r="L1037" s="24">
        <f t="shared" si="337"/>
        <v>2.4084585568384043</v>
      </c>
      <c r="M1037" s="24">
        <f t="shared" si="337"/>
        <v>2.9444828406581953</v>
      </c>
      <c r="N1037" s="24">
        <f t="shared" si="337"/>
        <v>3.4412882939794041</v>
      </c>
      <c r="O1037" s="24">
        <f t="shared" si="337"/>
        <v>3.8608572409190614</v>
      </c>
      <c r="P1037" s="24">
        <f t="shared" si="337"/>
        <v>4.2197639233001043</v>
      </c>
      <c r="Q1037" s="24">
        <f t="shared" si="337"/>
        <v>4.4975141451148826</v>
      </c>
      <c r="R1037" s="24">
        <f t="shared" si="337"/>
        <v>4.6848517456068279</v>
      </c>
      <c r="S1037" s="24">
        <f t="shared" si="337"/>
        <v>4.7847300745896986</v>
      </c>
      <c r="T1037" s="24">
        <f t="shared" si="337"/>
        <v>4.7847300745896986</v>
      </c>
      <c r="U1037" s="24">
        <f t="shared" si="337"/>
        <v>4.6848517456068279</v>
      </c>
      <c r="V1037" s="24">
        <f t="shared" si="337"/>
        <v>4.4975141451148826</v>
      </c>
      <c r="W1037" s="24">
        <f t="shared" si="337"/>
        <v>4.2197639233001043</v>
      </c>
      <c r="X1037" s="24">
        <f t="shared" si="337"/>
        <v>3.8608572409190614</v>
      </c>
      <c r="Y1037" s="24">
        <f t="shared" si="337"/>
        <v>3.4412882939794041</v>
      </c>
      <c r="Z1037" s="24">
        <f t="shared" si="337"/>
        <v>2.9444828406581953</v>
      </c>
      <c r="AA1037" s="24">
        <f t="shared" si="337"/>
        <v>2.4084585568384043</v>
      </c>
      <c r="AB1037" s="24">
        <f t="shared" si="337"/>
        <v>1.8126689601268109</v>
      </c>
      <c r="AC1037" s="24">
        <f t="shared" si="337"/>
        <v>1.2140435751961731</v>
      </c>
      <c r="AD1037" s="24">
        <f t="shared" si="337"/>
        <v>0.6291824034297212</v>
      </c>
      <c r="AE1037" s="24">
        <f t="shared" si="337"/>
        <v>0.16469554618171017</v>
      </c>
      <c r="AF1037" s="28"/>
      <c r="AG1037" s="11"/>
    </row>
    <row r="1038" spans="1:33">
      <c r="A1038" s="20"/>
      <c r="B1038" s="24" t="s">
        <v>189</v>
      </c>
      <c r="C1038" s="11"/>
      <c r="D1038" t="s">
        <v>154</v>
      </c>
      <c r="G1038" s="27"/>
      <c r="H1038" s="24" t="s">
        <v>900</v>
      </c>
      <c r="K1038" t="s">
        <v>853</v>
      </c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8"/>
      <c r="AG1038" s="11"/>
    </row>
    <row r="1039" spans="1:33">
      <c r="A1039" s="100" t="s">
        <v>836</v>
      </c>
      <c r="B1039" s="5"/>
      <c r="C1039" s="11"/>
      <c r="G1039" s="19">
        <f>SUM(H1039:AE1039)/48</f>
        <v>5.0315962622958892E-2</v>
      </c>
      <c r="H1039" s="2">
        <f>H1037^2/H1033</f>
        <v>5.7377091857102411E-3</v>
      </c>
      <c r="I1039" s="2">
        <f t="shared" ref="I1039:AE1039" si="338">I1037^2/I1033</f>
        <v>2.1919631340017773E-2</v>
      </c>
      <c r="J1039" s="2">
        <f t="shared" si="338"/>
        <v>4.2295187300147863E-2</v>
      </c>
      <c r="K1039" s="2">
        <f t="shared" si="338"/>
        <v>6.3150264741806614E-2</v>
      </c>
      <c r="L1039" s="2">
        <f t="shared" si="338"/>
        <v>8.3906548205787357E-2</v>
      </c>
      <c r="M1039" s="2">
        <f t="shared" si="338"/>
        <v>0.10258071109810556</v>
      </c>
      <c r="N1039" s="2">
        <f t="shared" si="338"/>
        <v>0.11988855747961624</v>
      </c>
      <c r="O1039" s="2">
        <f t="shared" si="338"/>
        <v>0.13450561699765795</v>
      </c>
      <c r="P1039" s="2">
        <f t="shared" si="338"/>
        <v>0.14700930769272053</v>
      </c>
      <c r="Q1039" s="2">
        <f t="shared" si="338"/>
        <v>0.15668564707157309</v>
      </c>
      <c r="R1039" s="2">
        <f t="shared" si="338"/>
        <v>0.16321216643467482</v>
      </c>
      <c r="S1039" s="2">
        <f t="shared" si="338"/>
        <v>0.16669175540319578</v>
      </c>
      <c r="T1039" s="2">
        <f t="shared" si="338"/>
        <v>0.16669175540319578</v>
      </c>
      <c r="U1039" s="2">
        <f t="shared" si="338"/>
        <v>0.16321216643467482</v>
      </c>
      <c r="V1039" s="2">
        <f t="shared" si="338"/>
        <v>0.15668564707157309</v>
      </c>
      <c r="W1039" s="2">
        <f t="shared" si="338"/>
        <v>0.14700930769272053</v>
      </c>
      <c r="X1039" s="2">
        <f t="shared" si="338"/>
        <v>0.13450561699765795</v>
      </c>
      <c r="Y1039" s="2">
        <f t="shared" si="338"/>
        <v>0.11988855747961624</v>
      </c>
      <c r="Z1039" s="2">
        <f t="shared" si="338"/>
        <v>0.10258071109810556</v>
      </c>
      <c r="AA1039" s="2">
        <f t="shared" si="338"/>
        <v>8.3906548205787357E-2</v>
      </c>
      <c r="AB1039" s="2">
        <f t="shared" si="338"/>
        <v>6.3150264741806614E-2</v>
      </c>
      <c r="AC1039" s="2">
        <f t="shared" si="338"/>
        <v>4.2295187300147863E-2</v>
      </c>
      <c r="AD1039" s="2">
        <f t="shared" si="338"/>
        <v>2.1919631340017773E-2</v>
      </c>
      <c r="AE1039" s="2">
        <f t="shared" si="338"/>
        <v>5.7377091857102411E-3</v>
      </c>
      <c r="AF1039" s="28"/>
      <c r="AG1039" s="11"/>
    </row>
    <row r="1040" spans="1:33">
      <c r="A1040" s="100"/>
      <c r="B1040" s="24" t="s">
        <v>190</v>
      </c>
      <c r="C1040" s="11"/>
      <c r="G1040" s="19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8"/>
      <c r="AG1040" s="11"/>
    </row>
    <row r="1041" spans="1:33">
      <c r="A1041" s="20" t="s">
        <v>901</v>
      </c>
      <c r="B1041" s="11"/>
      <c r="C1041" s="11"/>
      <c r="D1041" s="24"/>
      <c r="E1041" s="27"/>
      <c r="F1041" s="6"/>
      <c r="G1041" s="19">
        <f>SUM(H1041:AE1041)/24</f>
        <v>264.77650940590888</v>
      </c>
      <c r="H1041" s="2">
        <f>$M$9*($F$7+273)^4*(1-$H$947)</f>
        <v>264.77650940590894</v>
      </c>
      <c r="I1041" s="2">
        <f t="shared" ref="I1041:AE1041" si="339">$M$9*($F$7+273)^4*(1-$H$947)</f>
        <v>264.77650940590894</v>
      </c>
      <c r="J1041" s="2">
        <f t="shared" si="339"/>
        <v>264.77650940590894</v>
      </c>
      <c r="K1041" s="2">
        <f t="shared" si="339"/>
        <v>264.77650940590894</v>
      </c>
      <c r="L1041" s="2">
        <f t="shared" si="339"/>
        <v>264.77650940590894</v>
      </c>
      <c r="M1041" s="2">
        <f t="shared" si="339"/>
        <v>264.77650940590894</v>
      </c>
      <c r="N1041" s="2">
        <f t="shared" si="339"/>
        <v>264.77650940590894</v>
      </c>
      <c r="O1041" s="2">
        <f t="shared" si="339"/>
        <v>264.77650940590894</v>
      </c>
      <c r="P1041" s="2">
        <f t="shared" si="339"/>
        <v>264.77650940590894</v>
      </c>
      <c r="Q1041" s="2">
        <f t="shared" si="339"/>
        <v>264.77650940590894</v>
      </c>
      <c r="R1041" s="2">
        <f t="shared" si="339"/>
        <v>264.77650940590894</v>
      </c>
      <c r="S1041" s="2">
        <f t="shared" si="339"/>
        <v>264.77650940590894</v>
      </c>
      <c r="T1041" s="2">
        <f t="shared" si="339"/>
        <v>264.77650940590894</v>
      </c>
      <c r="U1041" s="2">
        <f t="shared" si="339"/>
        <v>264.77650940590894</v>
      </c>
      <c r="V1041" s="2">
        <f t="shared" si="339"/>
        <v>264.77650940590894</v>
      </c>
      <c r="W1041" s="2">
        <f t="shared" si="339"/>
        <v>264.77650940590894</v>
      </c>
      <c r="X1041" s="2">
        <f t="shared" si="339"/>
        <v>264.77650940590894</v>
      </c>
      <c r="Y1041" s="2">
        <f t="shared" si="339"/>
        <v>264.77650940590894</v>
      </c>
      <c r="Z1041" s="2">
        <f t="shared" si="339"/>
        <v>264.77650940590894</v>
      </c>
      <c r="AA1041" s="2">
        <f t="shared" si="339"/>
        <v>264.77650940590894</v>
      </c>
      <c r="AB1041" s="2">
        <f t="shared" si="339"/>
        <v>264.77650940590894</v>
      </c>
      <c r="AC1041" s="2">
        <f t="shared" si="339"/>
        <v>264.77650940590894</v>
      </c>
      <c r="AD1041" s="2">
        <f t="shared" si="339"/>
        <v>264.77650940590894</v>
      </c>
      <c r="AE1041" s="2">
        <f t="shared" si="339"/>
        <v>264.77650940590894</v>
      </c>
      <c r="AF1041" s="28"/>
      <c r="AG1041" s="11"/>
    </row>
    <row r="1042" spans="1:33">
      <c r="A1042" s="14"/>
      <c r="B1042" s="5" t="s">
        <v>191</v>
      </c>
      <c r="D1042" t="s">
        <v>1056</v>
      </c>
      <c r="E1042" s="12"/>
      <c r="F1042" s="6"/>
      <c r="G1042" s="2"/>
      <c r="H1042" s="2" t="s">
        <v>9</v>
      </c>
      <c r="J1042" s="10"/>
      <c r="K1042" s="9"/>
      <c r="AF1042" s="2"/>
    </row>
    <row r="1043" spans="1:33">
      <c r="A1043" s="20" t="s">
        <v>914</v>
      </c>
      <c r="B1043" s="11"/>
      <c r="C1043" s="11"/>
      <c r="D1043" s="11"/>
      <c r="E1043" s="27"/>
      <c r="F1043" s="6"/>
      <c r="G1043" s="19">
        <f>SUM(H1043:AE1043)/24</f>
        <v>12.551783676120003</v>
      </c>
      <c r="H1043" s="24">
        <f t="shared" ref="H1043:AE1043" si="340">$M$9*($F$9+273)^4*$F$11*$H$18</f>
        <v>12.551783676119999</v>
      </c>
      <c r="I1043" s="24">
        <f t="shared" si="340"/>
        <v>12.551783676119999</v>
      </c>
      <c r="J1043" s="24">
        <f t="shared" si="340"/>
        <v>12.551783676119999</v>
      </c>
      <c r="K1043" s="24">
        <f t="shared" si="340"/>
        <v>12.551783676119999</v>
      </c>
      <c r="L1043" s="24">
        <f t="shared" si="340"/>
        <v>12.551783676119999</v>
      </c>
      <c r="M1043" s="24">
        <f t="shared" si="340"/>
        <v>12.551783676119999</v>
      </c>
      <c r="N1043" s="24">
        <f t="shared" si="340"/>
        <v>12.551783676119999</v>
      </c>
      <c r="O1043" s="24">
        <f t="shared" si="340"/>
        <v>12.551783676119999</v>
      </c>
      <c r="P1043" s="24">
        <f t="shared" si="340"/>
        <v>12.551783676119999</v>
      </c>
      <c r="Q1043" s="24">
        <f t="shared" si="340"/>
        <v>12.551783676119999</v>
      </c>
      <c r="R1043" s="24">
        <f t="shared" si="340"/>
        <v>12.551783676119999</v>
      </c>
      <c r="S1043" s="24">
        <f t="shared" si="340"/>
        <v>12.551783676119999</v>
      </c>
      <c r="T1043" s="24">
        <f t="shared" si="340"/>
        <v>12.551783676119999</v>
      </c>
      <c r="U1043" s="24">
        <f t="shared" si="340"/>
        <v>12.551783676119999</v>
      </c>
      <c r="V1043" s="24">
        <f t="shared" si="340"/>
        <v>12.551783676119999</v>
      </c>
      <c r="W1043" s="24">
        <f t="shared" si="340"/>
        <v>12.551783676119999</v>
      </c>
      <c r="X1043" s="24">
        <f t="shared" si="340"/>
        <v>12.551783676119999</v>
      </c>
      <c r="Y1043" s="24">
        <f t="shared" si="340"/>
        <v>12.551783676119999</v>
      </c>
      <c r="Z1043" s="24">
        <f t="shared" si="340"/>
        <v>12.551783676119999</v>
      </c>
      <c r="AA1043" s="24">
        <f t="shared" si="340"/>
        <v>12.551783676119999</v>
      </c>
      <c r="AB1043" s="24">
        <f t="shared" si="340"/>
        <v>12.551783676119999</v>
      </c>
      <c r="AC1043" s="24">
        <f t="shared" si="340"/>
        <v>12.551783676119999</v>
      </c>
      <c r="AD1043" s="24">
        <f t="shared" si="340"/>
        <v>12.551783676119999</v>
      </c>
      <c r="AE1043" s="24">
        <f t="shared" si="340"/>
        <v>12.551783676119999</v>
      </c>
      <c r="AF1043" s="28"/>
      <c r="AG1043" s="11"/>
    </row>
    <row r="1044" spans="1:33">
      <c r="A1044" s="20"/>
      <c r="B1044" s="5" t="s">
        <v>272</v>
      </c>
      <c r="C1044" s="11"/>
      <c r="D1044" t="s">
        <v>743</v>
      </c>
      <c r="E1044" s="27"/>
      <c r="F1044" s="6"/>
      <c r="G1044" s="28"/>
      <c r="H1044" t="s">
        <v>717</v>
      </c>
      <c r="I1044" s="29"/>
      <c r="J1044" s="11"/>
      <c r="K1044" s="2" t="s">
        <v>273</v>
      </c>
      <c r="L1044" s="11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11"/>
    </row>
    <row r="1045" spans="1:33">
      <c r="A1045" s="20"/>
      <c r="B1045" s="27" t="s">
        <v>925</v>
      </c>
      <c r="C1045" s="11" t="s">
        <v>266</v>
      </c>
      <c r="E1045" s="27"/>
      <c r="F1045" s="6"/>
      <c r="G1045" s="28"/>
      <c r="I1045" s="29"/>
      <c r="J1045" s="11"/>
      <c r="K1045" s="2"/>
      <c r="L1045" s="11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11"/>
    </row>
    <row r="1046" spans="1:33">
      <c r="A1046" s="20"/>
      <c r="B1046" s="14"/>
      <c r="C1046" t="s">
        <v>274</v>
      </c>
      <c r="E1046" s="27"/>
      <c r="F1046" s="6"/>
      <c r="G1046" s="28"/>
      <c r="I1046" s="29"/>
      <c r="J1046" s="11"/>
      <c r="K1046" s="2"/>
      <c r="L1046" s="11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  <c r="AG1046" s="11"/>
    </row>
    <row r="1047" spans="1:33">
      <c r="A1047" s="20"/>
      <c r="B1047" s="16" t="s">
        <v>334</v>
      </c>
      <c r="C1047" s="11"/>
      <c r="D1047" s="11"/>
      <c r="E1047" s="21"/>
      <c r="F1047" s="21"/>
      <c r="G1047" s="82">
        <f>G1027+G1033+G1037+G1039+G1041+G1043</f>
        <v>333.12639749706875</v>
      </c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  <c r="AE1047" s="24"/>
      <c r="AF1047" s="28"/>
      <c r="AG1047" s="11"/>
    </row>
    <row r="1048" spans="1:33">
      <c r="A1048" s="20"/>
      <c r="B1048" s="16" t="s">
        <v>730</v>
      </c>
      <c r="C1048" s="11"/>
      <c r="D1048" s="11"/>
      <c r="E1048" s="21"/>
      <c r="F1048" s="21"/>
      <c r="G1048" s="82">
        <f>G1024-G1047</f>
        <v>13.765082799958122</v>
      </c>
      <c r="H1048" s="24"/>
      <c r="I1048" s="32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  <c r="AE1048" s="24"/>
      <c r="AF1048" s="28"/>
      <c r="AG1048" s="11"/>
    </row>
    <row r="1049" spans="1:33">
      <c r="A1049" s="20"/>
      <c r="B1049" s="16"/>
      <c r="C1049" s="11"/>
      <c r="D1049" s="11"/>
      <c r="E1049" s="21"/>
      <c r="F1049" s="21"/>
      <c r="G1049" s="82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8"/>
      <c r="AG1049" s="11"/>
    </row>
    <row r="1050" spans="1:33">
      <c r="A1050" s="20"/>
      <c r="B1050" s="11"/>
      <c r="C1050" s="11"/>
      <c r="D1050" s="11"/>
      <c r="E1050" s="27"/>
      <c r="F1050" s="6"/>
      <c r="G1050" s="19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  <c r="AE1050" s="24"/>
      <c r="AF1050" s="28"/>
      <c r="AG1050" s="11"/>
    </row>
    <row r="1051" spans="1:33" ht="18.75">
      <c r="A1051" s="85" t="s">
        <v>514</v>
      </c>
      <c r="B1051" s="30" t="s">
        <v>609</v>
      </c>
      <c r="H1051" s="4" t="s">
        <v>484</v>
      </c>
      <c r="I1051" s="4" t="s">
        <v>486</v>
      </c>
      <c r="J1051" s="4" t="s">
        <v>485</v>
      </c>
      <c r="K1051" s="4" t="s">
        <v>487</v>
      </c>
      <c r="L1051" s="4" t="s">
        <v>488</v>
      </c>
      <c r="M1051" s="4" t="s">
        <v>489</v>
      </c>
      <c r="N1051" s="4" t="s">
        <v>490</v>
      </c>
      <c r="O1051" s="4" t="s">
        <v>491</v>
      </c>
      <c r="P1051" s="4" t="s">
        <v>494</v>
      </c>
      <c r="Q1051" s="4" t="s">
        <v>492</v>
      </c>
      <c r="R1051" s="4" t="s">
        <v>495</v>
      </c>
      <c r="S1051" s="4" t="s">
        <v>493</v>
      </c>
      <c r="T1051" s="4" t="s">
        <v>515</v>
      </c>
      <c r="U1051" s="4" t="s">
        <v>517</v>
      </c>
      <c r="V1051" s="4" t="s">
        <v>518</v>
      </c>
      <c r="W1051" s="4" t="s">
        <v>516</v>
      </c>
      <c r="X1051" s="4" t="s">
        <v>519</v>
      </c>
      <c r="Y1051" s="4" t="s">
        <v>520</v>
      </c>
      <c r="Z1051" s="4" t="s">
        <v>521</v>
      </c>
      <c r="AA1051" s="4" t="s">
        <v>522</v>
      </c>
      <c r="AB1051" s="4" t="s">
        <v>523</v>
      </c>
      <c r="AC1051" s="4" t="s">
        <v>524</v>
      </c>
      <c r="AD1051" s="4" t="s">
        <v>525</v>
      </c>
      <c r="AE1051" s="4" t="s">
        <v>526</v>
      </c>
      <c r="AF1051" s="2"/>
    </row>
    <row r="1052" spans="1:33">
      <c r="A1052" s="3" t="s">
        <v>722</v>
      </c>
      <c r="G1052" t="s">
        <v>535</v>
      </c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2"/>
    </row>
    <row r="1053" spans="1:33">
      <c r="A1053" t="s">
        <v>561</v>
      </c>
      <c r="B1053" s="11"/>
      <c r="C1053" s="11"/>
      <c r="D1053" s="5" t="s">
        <v>192</v>
      </c>
      <c r="E1053" s="12"/>
      <c r="F1053" s="6"/>
      <c r="G1053" s="2">
        <f>SUM(H1053:AE1053)/48</f>
        <v>37.763934013669378</v>
      </c>
      <c r="H1053" s="2">
        <f>H$71</f>
        <v>6.441811894323469</v>
      </c>
      <c r="I1053" s="2">
        <f t="shared" ref="I1053:AE1053" si="341">I$71</f>
        <v>21.949015597270865</v>
      </c>
      <c r="J1053" s="2">
        <f t="shared" si="341"/>
        <v>37.214896961261807</v>
      </c>
      <c r="K1053" s="2">
        <f t="shared" si="341"/>
        <v>51.999310534199267</v>
      </c>
      <c r="L1053" s="2">
        <f t="shared" si="341"/>
        <v>65.586101688677175</v>
      </c>
      <c r="M1053" s="2">
        <f t="shared" si="341"/>
        <v>78.213638292206937</v>
      </c>
      <c r="N1053" s="2">
        <f t="shared" si="341"/>
        <v>89.406077657605564</v>
      </c>
      <c r="O1053" s="2">
        <f t="shared" si="341"/>
        <v>98.926848606676415</v>
      </c>
      <c r="P1053" s="2">
        <f t="shared" si="341"/>
        <v>107.01573120144074</v>
      </c>
      <c r="Q1053" s="2">
        <f t="shared" si="341"/>
        <v>112.96105086229458</v>
      </c>
      <c r="R1053" s="2">
        <f t="shared" si="341"/>
        <v>117.2403558968505</v>
      </c>
      <c r="S1053" s="2">
        <f t="shared" si="341"/>
        <v>119.37957713525773</v>
      </c>
      <c r="T1053" s="2">
        <f t="shared" si="341"/>
        <v>119.37957713525773</v>
      </c>
      <c r="U1053" s="2">
        <f t="shared" si="341"/>
        <v>117.2403558968505</v>
      </c>
      <c r="V1053" s="2">
        <f t="shared" si="341"/>
        <v>112.96105086229458</v>
      </c>
      <c r="W1053" s="2">
        <f t="shared" si="341"/>
        <v>107.01573120144074</v>
      </c>
      <c r="X1053" s="2">
        <f t="shared" si="341"/>
        <v>98.926848606676415</v>
      </c>
      <c r="Y1053" s="2">
        <f t="shared" si="341"/>
        <v>89.406077657605564</v>
      </c>
      <c r="Z1053" s="2">
        <f t="shared" si="341"/>
        <v>78.213638292206937</v>
      </c>
      <c r="AA1053" s="2">
        <f t="shared" si="341"/>
        <v>65.586101688677175</v>
      </c>
      <c r="AB1053" s="2">
        <f t="shared" si="341"/>
        <v>51.999310534199267</v>
      </c>
      <c r="AC1053" s="2">
        <f t="shared" si="341"/>
        <v>37.214896961261807</v>
      </c>
      <c r="AD1053" s="2">
        <f t="shared" si="341"/>
        <v>21.949015597270865</v>
      </c>
      <c r="AE1053" s="2">
        <f t="shared" si="341"/>
        <v>6.441811894323469</v>
      </c>
      <c r="AF1053" s="2"/>
    </row>
    <row r="1054" spans="1:33">
      <c r="A1054" s="20" t="s">
        <v>824</v>
      </c>
      <c r="B1054" s="11"/>
      <c r="C1054" s="11"/>
      <c r="D1054" t="s">
        <v>193</v>
      </c>
      <c r="E1054" s="12"/>
      <c r="F1054" s="18"/>
      <c r="G1054" s="19">
        <f>SUM(H1054:AE1054)/48</f>
        <v>26.434753809568562</v>
      </c>
      <c r="H1054" s="2">
        <f>H$71*$W$20</f>
        <v>4.5092683260264277</v>
      </c>
      <c r="I1054" s="2">
        <f t="shared" ref="I1054:AE1054" si="342">I$71*$W$20</f>
        <v>15.364310918089604</v>
      </c>
      <c r="J1054" s="2">
        <f t="shared" si="342"/>
        <v>26.050427872883265</v>
      </c>
      <c r="K1054" s="2">
        <f t="shared" si="342"/>
        <v>36.399517373939482</v>
      </c>
      <c r="L1054" s="2">
        <f t="shared" si="342"/>
        <v>45.91027118207402</v>
      </c>
      <c r="M1054" s="2">
        <f t="shared" si="342"/>
        <v>54.749546804544856</v>
      </c>
      <c r="N1054" s="2">
        <f t="shared" si="342"/>
        <v>62.584254360323889</v>
      </c>
      <c r="O1054" s="2">
        <f t="shared" si="342"/>
        <v>69.248794024673487</v>
      </c>
      <c r="P1054" s="2">
        <f t="shared" si="342"/>
        <v>74.911011841008516</v>
      </c>
      <c r="Q1054" s="2">
        <f t="shared" si="342"/>
        <v>79.072735603606205</v>
      </c>
      <c r="R1054" s="2">
        <f t="shared" si="342"/>
        <v>82.06824912779534</v>
      </c>
      <c r="S1054" s="2">
        <f t="shared" si="342"/>
        <v>83.565703994680405</v>
      </c>
      <c r="T1054" s="2">
        <f t="shared" si="342"/>
        <v>83.565703994680405</v>
      </c>
      <c r="U1054" s="2">
        <f t="shared" si="342"/>
        <v>82.06824912779534</v>
      </c>
      <c r="V1054" s="2">
        <f t="shared" si="342"/>
        <v>79.072735603606205</v>
      </c>
      <c r="W1054" s="2">
        <f t="shared" si="342"/>
        <v>74.911011841008516</v>
      </c>
      <c r="X1054" s="2">
        <f t="shared" si="342"/>
        <v>69.248794024673487</v>
      </c>
      <c r="Y1054" s="2">
        <f t="shared" si="342"/>
        <v>62.584254360323889</v>
      </c>
      <c r="Z1054" s="2">
        <f t="shared" si="342"/>
        <v>54.749546804544856</v>
      </c>
      <c r="AA1054" s="2">
        <f t="shared" si="342"/>
        <v>45.91027118207402</v>
      </c>
      <c r="AB1054" s="2">
        <f t="shared" si="342"/>
        <v>36.399517373939482</v>
      </c>
      <c r="AC1054" s="2">
        <f t="shared" si="342"/>
        <v>26.050427872883265</v>
      </c>
      <c r="AD1054" s="2">
        <f t="shared" si="342"/>
        <v>15.364310918089604</v>
      </c>
      <c r="AE1054" s="2">
        <f t="shared" si="342"/>
        <v>4.5092683260264277</v>
      </c>
      <c r="AF1054" s="2"/>
    </row>
    <row r="1055" spans="1:33">
      <c r="A1055" s="20"/>
      <c r="B1055" s="5" t="s">
        <v>195</v>
      </c>
      <c r="C1055" s="11"/>
      <c r="D1055" t="s">
        <v>194</v>
      </c>
      <c r="E1055" s="12"/>
      <c r="F1055" s="18"/>
      <c r="G1055" s="19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</row>
    <row r="1056" spans="1:33">
      <c r="A1056" s="20" t="s">
        <v>825</v>
      </c>
      <c r="D1056" t="s">
        <v>196</v>
      </c>
      <c r="G1056" s="19">
        <f>SUM(H1056:AE1056)/24</f>
        <v>272.70798197699997</v>
      </c>
      <c r="H1056" s="2">
        <f>$W$24</f>
        <v>272.70798197700003</v>
      </c>
      <c r="I1056" s="2">
        <f t="shared" ref="I1056:AE1056" si="343">$W$24</f>
        <v>272.70798197700003</v>
      </c>
      <c r="J1056" s="2">
        <f t="shared" si="343"/>
        <v>272.70798197700003</v>
      </c>
      <c r="K1056" s="2">
        <f t="shared" si="343"/>
        <v>272.70798197700003</v>
      </c>
      <c r="L1056" s="2">
        <f t="shared" si="343"/>
        <v>272.70798197700003</v>
      </c>
      <c r="M1056" s="2">
        <f t="shared" si="343"/>
        <v>272.70798197700003</v>
      </c>
      <c r="N1056" s="2">
        <f t="shared" si="343"/>
        <v>272.70798197700003</v>
      </c>
      <c r="O1056" s="2">
        <f t="shared" si="343"/>
        <v>272.70798197700003</v>
      </c>
      <c r="P1056" s="2">
        <f t="shared" si="343"/>
        <v>272.70798197700003</v>
      </c>
      <c r="Q1056" s="2">
        <f t="shared" si="343"/>
        <v>272.70798197700003</v>
      </c>
      <c r="R1056" s="2">
        <f t="shared" si="343"/>
        <v>272.70798197700003</v>
      </c>
      <c r="S1056" s="2">
        <f t="shared" si="343"/>
        <v>272.70798197700003</v>
      </c>
      <c r="T1056" s="2">
        <f t="shared" si="343"/>
        <v>272.70798197700003</v>
      </c>
      <c r="U1056" s="2">
        <f t="shared" si="343"/>
        <v>272.70798197700003</v>
      </c>
      <c r="V1056" s="2">
        <f t="shared" si="343"/>
        <v>272.70798197700003</v>
      </c>
      <c r="W1056" s="2">
        <f t="shared" si="343"/>
        <v>272.70798197700003</v>
      </c>
      <c r="X1056" s="2">
        <f t="shared" si="343"/>
        <v>272.70798197700003</v>
      </c>
      <c r="Y1056" s="2">
        <f t="shared" si="343"/>
        <v>272.70798197700003</v>
      </c>
      <c r="Z1056" s="2">
        <f t="shared" si="343"/>
        <v>272.70798197700003</v>
      </c>
      <c r="AA1056" s="2">
        <f t="shared" si="343"/>
        <v>272.70798197700003</v>
      </c>
      <c r="AB1056" s="2">
        <f t="shared" si="343"/>
        <v>272.70798197700003</v>
      </c>
      <c r="AC1056" s="2">
        <f t="shared" si="343"/>
        <v>272.70798197700003</v>
      </c>
      <c r="AD1056" s="2">
        <f t="shared" si="343"/>
        <v>272.70798197700003</v>
      </c>
      <c r="AE1056" s="2">
        <f t="shared" si="343"/>
        <v>272.70798197700003</v>
      </c>
      <c r="AF1056" s="2"/>
    </row>
    <row r="1057" spans="1:33">
      <c r="A1057" s="20"/>
      <c r="B1057" s="16" t="s">
        <v>720</v>
      </c>
      <c r="G1057" s="32">
        <f>G1054+G1056</f>
        <v>299.14273578656855</v>
      </c>
      <c r="H1057" s="33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</row>
    <row r="1058" spans="1:33">
      <c r="A1058" s="39" t="s">
        <v>514</v>
      </c>
      <c r="B1058" s="16"/>
      <c r="F1058" s="12"/>
      <c r="G1058" s="32"/>
      <c r="H1058" s="33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</row>
    <row r="1059" spans="1:33">
      <c r="A1059" s="3" t="s">
        <v>326</v>
      </c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</row>
    <row r="1060" spans="1:33" s="27" customFormat="1">
      <c r="A1060" s="27" t="s">
        <v>1031</v>
      </c>
      <c r="G1060" s="55"/>
      <c r="H1060" s="101">
        <f ca="1">Tabelle3!D$52</f>
        <v>1</v>
      </c>
      <c r="I1060" s="101">
        <f ca="1">Tabelle3!E$52</f>
        <v>0.95811308578197363</v>
      </c>
      <c r="J1060" s="101">
        <f ca="1">Tabelle3!F$52</f>
        <v>0.84642604560507273</v>
      </c>
      <c r="K1060" s="101">
        <f ca="1">Tabelle3!G$52</f>
        <v>0.73052223926299986</v>
      </c>
      <c r="L1060" s="101">
        <f ca="1">Tabelle3!H$52</f>
        <v>0.64098825025342032</v>
      </c>
      <c r="M1060" s="101">
        <f ca="1">Tabelle3!I$52</f>
        <v>0.58980859903943395</v>
      </c>
      <c r="N1060" s="101">
        <f ca="1">Tabelle3!J$52</f>
        <v>0.54573983719019792</v>
      </c>
      <c r="O1060" s="101">
        <f ca="1">Tabelle3!K$52</f>
        <v>0.51040610179510659</v>
      </c>
      <c r="P1060" s="101">
        <f ca="1">Tabelle3!L$52</f>
        <v>0.48037242670927921</v>
      </c>
      <c r="Q1060" s="101">
        <f ca="1">Tabelle3!M$52</f>
        <v>0.45828884208734727</v>
      </c>
      <c r="R1060" s="101">
        <f ca="1">Tabelle3!N$52</f>
        <v>0.44238866115955622</v>
      </c>
      <c r="S1060" s="101">
        <f ca="1">Tabelle3!O$52</f>
        <v>0.43443857069566072</v>
      </c>
      <c r="T1060" s="101">
        <f ca="1">Tabelle3!P$52</f>
        <v>0.43443857069566072</v>
      </c>
      <c r="U1060" s="101">
        <f ca="1">Tabelle3!Q$52</f>
        <v>0.44238866115955622</v>
      </c>
      <c r="V1060" s="101">
        <f ca="1">Tabelle3!R$52</f>
        <v>0.45828884208734727</v>
      </c>
      <c r="W1060" s="101">
        <f ca="1">Tabelle3!S$52</f>
        <v>0.48037242670927921</v>
      </c>
      <c r="X1060" s="101">
        <f ca="1">Tabelle3!T$52</f>
        <v>0.51040610179510659</v>
      </c>
      <c r="Y1060" s="101">
        <f ca="1">Tabelle3!U$52</f>
        <v>0.54573983719019792</v>
      </c>
      <c r="Z1060" s="101">
        <f ca="1">Tabelle3!V$52</f>
        <v>0.58980859903943395</v>
      </c>
      <c r="AA1060" s="101">
        <f ca="1">Tabelle3!W$52</f>
        <v>0.64098825025342032</v>
      </c>
      <c r="AB1060" s="101">
        <f ca="1">Tabelle3!X$52</f>
        <v>0.73052223926299986</v>
      </c>
      <c r="AC1060" s="101">
        <f ca="1">Tabelle3!Y$52</f>
        <v>0.84642604560507273</v>
      </c>
      <c r="AD1060" s="101">
        <f ca="1">Tabelle3!Z$52</f>
        <v>0.95811308578197363</v>
      </c>
      <c r="AE1060" s="101">
        <f ca="1">Tabelle3!AA$52</f>
        <v>1</v>
      </c>
      <c r="AF1060" s="55"/>
    </row>
    <row r="1061" spans="1:33" s="27" customFormat="1">
      <c r="A1061" s="27" t="s">
        <v>830</v>
      </c>
      <c r="F1061" s="10">
        <f ca="1">Tabelle3!N$80</f>
        <v>1.9907587298357079</v>
      </c>
      <c r="H1061" s="107">
        <f ca="1">$F$11*$F$142</f>
        <v>9.9537936491785398E-2</v>
      </c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55"/>
    </row>
    <row r="1062" spans="1:33" ht="15" customHeight="1">
      <c r="A1062" s="3" t="s">
        <v>831</v>
      </c>
      <c r="B1062" s="11"/>
      <c r="C1062" s="11"/>
      <c r="D1062" s="11"/>
      <c r="E1062" s="27"/>
      <c r="F1062" s="6"/>
      <c r="G1062" s="19">
        <f>SUM(H1062:AE1062)/48</f>
        <v>10.23581618438083</v>
      </c>
      <c r="H1062" s="24">
        <f>H$71*H$1060*$F$16</f>
        <v>3.2209059471617345</v>
      </c>
      <c r="I1062" s="24">
        <f t="shared" ref="I1062:AE1062" si="344">I$71*I$1060*$F$16</f>
        <v>10.514819531888929</v>
      </c>
      <c r="J1062" s="24">
        <f t="shared" si="344"/>
        <v>15.749829036260534</v>
      </c>
      <c r="K1062" s="24">
        <f t="shared" si="344"/>
        <v>18.993326385787672</v>
      </c>
      <c r="L1062" s="24">
        <f t="shared" si="344"/>
        <v>21.019960281184041</v>
      </c>
      <c r="M1062" s="24">
        <f t="shared" si="344"/>
        <v>23.065538213451799</v>
      </c>
      <c r="N1062" s="24">
        <f t="shared" si="344"/>
        <v>24.396229132337925</v>
      </c>
      <c r="O1062" s="24">
        <f t="shared" si="344"/>
        <v>25.246433580104192</v>
      </c>
      <c r="P1062" s="24">
        <f t="shared" si="344"/>
        <v>25.703703246652008</v>
      </c>
      <c r="Q1062" s="24">
        <f t="shared" si="344"/>
        <v>25.884394600325464</v>
      </c>
      <c r="R1062" s="24">
        <f t="shared" si="344"/>
        <v>25.932902039538789</v>
      </c>
      <c r="S1062" s="24">
        <f t="shared" si="344"/>
        <v>25.931546430446875</v>
      </c>
      <c r="T1062" s="24">
        <f t="shared" si="344"/>
        <v>25.931546430446875</v>
      </c>
      <c r="U1062" s="24">
        <f t="shared" si="344"/>
        <v>25.932902039538789</v>
      </c>
      <c r="V1062" s="24">
        <f t="shared" si="344"/>
        <v>25.884394600325464</v>
      </c>
      <c r="W1062" s="24">
        <f t="shared" si="344"/>
        <v>25.703703246652008</v>
      </c>
      <c r="X1062" s="24">
        <f t="shared" si="344"/>
        <v>25.246433580104192</v>
      </c>
      <c r="Y1062" s="24">
        <f t="shared" si="344"/>
        <v>24.396229132337925</v>
      </c>
      <c r="Z1062" s="24">
        <f t="shared" si="344"/>
        <v>23.065538213451799</v>
      </c>
      <c r="AA1062" s="24">
        <f t="shared" si="344"/>
        <v>21.019960281184041</v>
      </c>
      <c r="AB1062" s="24">
        <f t="shared" si="344"/>
        <v>18.993326385787672</v>
      </c>
      <c r="AC1062" s="24">
        <f t="shared" si="344"/>
        <v>15.749829036260534</v>
      </c>
      <c r="AD1062" s="24">
        <f t="shared" si="344"/>
        <v>10.514819531888929</v>
      </c>
      <c r="AE1062" s="24">
        <f t="shared" si="344"/>
        <v>3.2209059471617345</v>
      </c>
      <c r="AF1062" s="28"/>
      <c r="AG1062" s="11"/>
    </row>
    <row r="1063" spans="1:33">
      <c r="A1063" s="3"/>
      <c r="B1063" s="5" t="s">
        <v>197</v>
      </c>
      <c r="C1063" s="11"/>
      <c r="D1063" t="s">
        <v>198</v>
      </c>
      <c r="F1063" s="27"/>
      <c r="G1063" t="s">
        <v>854</v>
      </c>
      <c r="I1063" s="2"/>
      <c r="K1063" s="2"/>
      <c r="M1063" s="2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11"/>
    </row>
    <row r="1064" spans="1:33">
      <c r="A1064" s="3"/>
      <c r="C1064" s="11"/>
      <c r="D1064" s="2" t="s">
        <v>199</v>
      </c>
      <c r="F1064" s="27"/>
      <c r="G1064" s="2"/>
      <c r="I1064" s="2"/>
      <c r="K1064" s="2"/>
      <c r="M1064" s="2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11"/>
    </row>
    <row r="1065" spans="1:33">
      <c r="A1065" t="s">
        <v>879</v>
      </c>
      <c r="C1065" s="11"/>
      <c r="G1065" s="98">
        <f>SUM(H1065:AE1065)/48</f>
        <v>27.323401505600927</v>
      </c>
      <c r="H1065" s="97">
        <f>H$71*(1-($F$16+$F$13)*H$1060)</f>
        <v>3.1564878282184998</v>
      </c>
      <c r="I1065" s="97">
        <f t="shared" ref="I1065:AE1065" si="345">I$71*(1-($F$16+$F$13)*I$1060)</f>
        <v>11.223899674744159</v>
      </c>
      <c r="J1065" s="97">
        <f t="shared" si="345"/>
        <v>21.150071344276061</v>
      </c>
      <c r="K1065" s="97">
        <f t="shared" si="345"/>
        <v>32.626117620695844</v>
      </c>
      <c r="L1065" s="97">
        <f t="shared" si="345"/>
        <v>44.145742201869453</v>
      </c>
      <c r="M1065" s="97">
        <f t="shared" si="345"/>
        <v>54.686789314486106</v>
      </c>
      <c r="N1065" s="97">
        <f t="shared" si="345"/>
        <v>64.521923942620873</v>
      </c>
      <c r="O1065" s="97">
        <f t="shared" si="345"/>
        <v>73.175486354970147</v>
      </c>
      <c r="P1065" s="97">
        <f t="shared" si="345"/>
        <v>80.797953889855691</v>
      </c>
      <c r="Q1065" s="97">
        <f t="shared" si="345"/>
        <v>86.558968369962614</v>
      </c>
      <c r="R1065" s="97">
        <f t="shared" si="345"/>
        <v>90.788795816520945</v>
      </c>
      <c r="S1065" s="97">
        <f t="shared" si="345"/>
        <v>92.929399776201919</v>
      </c>
      <c r="T1065" s="97">
        <f t="shared" si="345"/>
        <v>92.929399776201919</v>
      </c>
      <c r="U1065" s="97">
        <f t="shared" si="345"/>
        <v>90.788795816520945</v>
      </c>
      <c r="V1065" s="97">
        <f t="shared" si="345"/>
        <v>86.558968369962614</v>
      </c>
      <c r="W1065" s="97">
        <f t="shared" si="345"/>
        <v>80.797953889855691</v>
      </c>
      <c r="X1065" s="97">
        <f t="shared" si="345"/>
        <v>73.175486354970147</v>
      </c>
      <c r="Y1065" s="97">
        <f t="shared" si="345"/>
        <v>64.521923942620873</v>
      </c>
      <c r="Z1065" s="97">
        <f t="shared" si="345"/>
        <v>54.686789314486106</v>
      </c>
      <c r="AA1065" s="97">
        <f t="shared" si="345"/>
        <v>44.145742201869453</v>
      </c>
      <c r="AB1065" s="97">
        <f t="shared" si="345"/>
        <v>32.626117620695844</v>
      </c>
      <c r="AC1065" s="97">
        <f t="shared" si="345"/>
        <v>21.150071344276061</v>
      </c>
      <c r="AD1065" s="97">
        <f t="shared" si="345"/>
        <v>11.223899674744159</v>
      </c>
      <c r="AE1065" s="97">
        <f t="shared" si="345"/>
        <v>3.1564878282184998</v>
      </c>
      <c r="AF1065" s="28"/>
      <c r="AG1065" s="11"/>
    </row>
    <row r="1066" spans="1:33">
      <c r="B1066" s="24" t="s">
        <v>200</v>
      </c>
      <c r="D1066" s="2" t="s">
        <v>201</v>
      </c>
      <c r="E1066" s="24" t="s">
        <v>900</v>
      </c>
      <c r="H1066" t="s">
        <v>853</v>
      </c>
      <c r="AF1066" s="28"/>
      <c r="AG1066" s="11"/>
    </row>
    <row r="1067" spans="1:33">
      <c r="A1067" t="s">
        <v>832</v>
      </c>
      <c r="C1067" s="11"/>
      <c r="D1067" s="24"/>
      <c r="G1067" s="97">
        <f>SUM(H1067:AE1067)/48</f>
        <v>19.12638105392065</v>
      </c>
      <c r="H1067" s="97">
        <f>H1065*$W$20</f>
        <v>2.2095414797529496</v>
      </c>
      <c r="I1067" s="97">
        <f t="shared" ref="I1067:AE1067" si="346">I1065*$W$20</f>
        <v>7.8567297723209109</v>
      </c>
      <c r="J1067" s="97">
        <f t="shared" si="346"/>
        <v>14.805049940993241</v>
      </c>
      <c r="K1067" s="97">
        <f t="shared" si="346"/>
        <v>22.83828233448709</v>
      </c>
      <c r="L1067" s="97">
        <f t="shared" si="346"/>
        <v>30.902019541308615</v>
      </c>
      <c r="M1067" s="97">
        <f t="shared" si="346"/>
        <v>38.280752520140268</v>
      </c>
      <c r="N1067" s="97">
        <f t="shared" si="346"/>
        <v>45.165346759834605</v>
      </c>
      <c r="O1067" s="97">
        <f t="shared" si="346"/>
        <v>51.222840448479097</v>
      </c>
      <c r="P1067" s="97">
        <f t="shared" si="346"/>
        <v>56.558567722898978</v>
      </c>
      <c r="Q1067" s="97">
        <f t="shared" si="346"/>
        <v>60.591277858973825</v>
      </c>
      <c r="R1067" s="97">
        <f t="shared" si="346"/>
        <v>63.552157071564658</v>
      </c>
      <c r="S1067" s="97">
        <f t="shared" si="346"/>
        <v>65.050579843341339</v>
      </c>
      <c r="T1067" s="97">
        <f t="shared" si="346"/>
        <v>65.050579843341339</v>
      </c>
      <c r="U1067" s="97">
        <f t="shared" si="346"/>
        <v>63.552157071564658</v>
      </c>
      <c r="V1067" s="97">
        <f t="shared" si="346"/>
        <v>60.591277858973825</v>
      </c>
      <c r="W1067" s="97">
        <f t="shared" si="346"/>
        <v>56.558567722898978</v>
      </c>
      <c r="X1067" s="97">
        <f t="shared" si="346"/>
        <v>51.222840448479097</v>
      </c>
      <c r="Y1067" s="97">
        <f t="shared" si="346"/>
        <v>45.165346759834605</v>
      </c>
      <c r="Z1067" s="97">
        <f t="shared" si="346"/>
        <v>38.280752520140268</v>
      </c>
      <c r="AA1067" s="97">
        <f t="shared" si="346"/>
        <v>30.902019541308615</v>
      </c>
      <c r="AB1067" s="97">
        <f t="shared" si="346"/>
        <v>22.83828233448709</v>
      </c>
      <c r="AC1067" s="97">
        <f t="shared" si="346"/>
        <v>14.805049940993241</v>
      </c>
      <c r="AD1067" s="97">
        <f t="shared" si="346"/>
        <v>7.8567297723209109</v>
      </c>
      <c r="AE1067" s="97">
        <f t="shared" si="346"/>
        <v>2.2095414797529496</v>
      </c>
      <c r="AF1067" s="28"/>
      <c r="AG1067" s="11"/>
    </row>
    <row r="1068" spans="1:33">
      <c r="B1068" s="24" t="s">
        <v>912</v>
      </c>
      <c r="C1068" s="14" t="s">
        <v>202</v>
      </c>
      <c r="D1068" s="24" t="s">
        <v>203</v>
      </c>
      <c r="AF1068" s="28"/>
      <c r="AG1068" s="11"/>
    </row>
    <row r="1069" spans="1:33">
      <c r="A1069" s="20" t="s">
        <v>833</v>
      </c>
      <c r="B1069" s="11"/>
      <c r="C1069" s="11"/>
      <c r="D1069" s="11"/>
      <c r="E1069" s="27"/>
      <c r="F1069" s="6"/>
      <c r="G1069" s="19">
        <f>SUM(H1069:AE1069)/48</f>
        <v>18.1554427975626</v>
      </c>
      <c r="H1069" s="24">
        <f>H1067*(1-($F$16+$F$13)*$H$1061)</f>
        <v>2.097375548014266</v>
      </c>
      <c r="I1069" s="24">
        <f t="shared" ref="I1069:AE1069" si="347">I1067*(1-($F$16+$F$13)*$H$1061)</f>
        <v>7.4578880110746075</v>
      </c>
      <c r="J1069" s="24">
        <f t="shared" si="347"/>
        <v>14.05348123939325</v>
      </c>
      <c r="K1069" s="24">
        <f t="shared" si="347"/>
        <v>21.678911831225353</v>
      </c>
      <c r="L1069" s="24">
        <f t="shared" si="347"/>
        <v>29.333298679437561</v>
      </c>
      <c r="M1069" s="24">
        <f t="shared" si="347"/>
        <v>36.337455092404454</v>
      </c>
      <c r="N1069" s="24">
        <f t="shared" si="347"/>
        <v>42.872557396955564</v>
      </c>
      <c r="O1069" s="24">
        <f t="shared" si="347"/>
        <v>48.622546370339414</v>
      </c>
      <c r="P1069" s="24">
        <f t="shared" si="347"/>
        <v>53.68740893064416</v>
      </c>
      <c r="Q1069" s="24">
        <f t="shared" si="347"/>
        <v>57.515401167557663</v>
      </c>
      <c r="R1069" s="24">
        <f t="shared" si="347"/>
        <v>60.325973278566913</v>
      </c>
      <c r="S1069" s="24">
        <f t="shared" si="347"/>
        <v>61.748329595889167</v>
      </c>
      <c r="T1069" s="24">
        <f t="shared" si="347"/>
        <v>61.748329595889167</v>
      </c>
      <c r="U1069" s="24">
        <f t="shared" si="347"/>
        <v>60.325973278566913</v>
      </c>
      <c r="V1069" s="24">
        <f t="shared" si="347"/>
        <v>57.515401167557663</v>
      </c>
      <c r="W1069" s="24">
        <f t="shared" si="347"/>
        <v>53.68740893064416</v>
      </c>
      <c r="X1069" s="24">
        <f t="shared" si="347"/>
        <v>48.622546370339414</v>
      </c>
      <c r="Y1069" s="24">
        <f t="shared" si="347"/>
        <v>42.872557396955564</v>
      </c>
      <c r="Z1069" s="24">
        <f t="shared" si="347"/>
        <v>36.337455092404454</v>
      </c>
      <c r="AA1069" s="24">
        <f t="shared" si="347"/>
        <v>29.333298679437561</v>
      </c>
      <c r="AB1069" s="24">
        <f t="shared" si="347"/>
        <v>21.678911831225353</v>
      </c>
      <c r="AC1069" s="24">
        <f t="shared" si="347"/>
        <v>14.05348123939325</v>
      </c>
      <c r="AD1069" s="24">
        <f t="shared" si="347"/>
        <v>7.4578880110746075</v>
      </c>
      <c r="AE1069" s="24">
        <f t="shared" si="347"/>
        <v>2.097375548014266</v>
      </c>
      <c r="AF1069" s="28"/>
      <c r="AG1069" s="11"/>
    </row>
    <row r="1070" spans="1:33">
      <c r="A1070" s="20"/>
      <c r="B1070" s="24" t="s">
        <v>204</v>
      </c>
      <c r="C1070" s="11"/>
      <c r="D1070" t="s">
        <v>205</v>
      </c>
      <c r="G1070" s="27"/>
      <c r="H1070" s="24" t="s">
        <v>900</v>
      </c>
      <c r="K1070" t="s">
        <v>853</v>
      </c>
      <c r="M1070" s="28"/>
      <c r="O1070" s="28"/>
      <c r="P1070" s="28"/>
      <c r="Q1070" s="11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11"/>
    </row>
    <row r="1071" spans="1:33">
      <c r="A1071" t="s">
        <v>834</v>
      </c>
      <c r="B1071" s="5"/>
      <c r="C1071" s="11"/>
      <c r="D1071" s="5" t="s">
        <v>206</v>
      </c>
      <c r="F1071" t="s">
        <v>207</v>
      </c>
      <c r="G1071" s="97">
        <f>SUM(H1071:AE1071)/48</f>
        <v>0.9519002513314202</v>
      </c>
      <c r="H1071" s="97">
        <f>H1067*$H$1061*$F$16</f>
        <v>0.10996659974380731</v>
      </c>
      <c r="I1071" s="97">
        <f t="shared" ref="I1071:AE1071" si="348">I1067*$H$1061*$F$16</f>
        <v>0.39102133455519916</v>
      </c>
      <c r="J1071" s="97">
        <f t="shared" si="348"/>
        <v>0.73683206039214821</v>
      </c>
      <c r="K1071" s="97">
        <f t="shared" si="348"/>
        <v>1.1366377482958201</v>
      </c>
      <c r="L1071" s="97">
        <f t="shared" si="348"/>
        <v>1.5379616292853442</v>
      </c>
      <c r="M1071" s="97">
        <f t="shared" si="348"/>
        <v>1.9051935566037379</v>
      </c>
      <c r="N1071" s="97">
        <f t="shared" si="348"/>
        <v>2.2478327087049412</v>
      </c>
      <c r="O1071" s="97">
        <f t="shared" si="348"/>
        <v>2.5493079197447841</v>
      </c>
      <c r="P1071" s="97">
        <f t="shared" si="348"/>
        <v>2.8148615610341308</v>
      </c>
      <c r="Q1071" s="97">
        <f t="shared" si="348"/>
        <v>3.0155653837413299</v>
      </c>
      <c r="R1071" s="97">
        <f t="shared" si="348"/>
        <v>3.1629252872526865</v>
      </c>
      <c r="S1071" s="97">
        <f t="shared" si="348"/>
        <v>3.2375002426001629</v>
      </c>
      <c r="T1071" s="97">
        <f t="shared" si="348"/>
        <v>3.2375002426001629</v>
      </c>
      <c r="U1071" s="97">
        <f t="shared" si="348"/>
        <v>3.1629252872526865</v>
      </c>
      <c r="V1071" s="97">
        <f t="shared" si="348"/>
        <v>3.0155653837413299</v>
      </c>
      <c r="W1071" s="97">
        <f t="shared" si="348"/>
        <v>2.8148615610341308</v>
      </c>
      <c r="X1071" s="97">
        <f t="shared" si="348"/>
        <v>2.5493079197447841</v>
      </c>
      <c r="Y1071" s="97">
        <f t="shared" si="348"/>
        <v>2.2478327087049412</v>
      </c>
      <c r="Z1071" s="97">
        <f t="shared" si="348"/>
        <v>1.9051935566037379</v>
      </c>
      <c r="AA1071" s="97">
        <f t="shared" si="348"/>
        <v>1.5379616292853442</v>
      </c>
      <c r="AB1071" s="97">
        <f t="shared" si="348"/>
        <v>1.1366377482958201</v>
      </c>
      <c r="AC1071" s="97">
        <f t="shared" si="348"/>
        <v>0.73683206039214821</v>
      </c>
      <c r="AD1071" s="97">
        <f t="shared" si="348"/>
        <v>0.39102133455519916</v>
      </c>
      <c r="AE1071" s="97">
        <f t="shared" si="348"/>
        <v>0.10996659974380731</v>
      </c>
      <c r="AF1071" s="28"/>
      <c r="AG1071" s="11"/>
    </row>
    <row r="1072" spans="1:33">
      <c r="A1072" t="s">
        <v>909</v>
      </c>
      <c r="B1072" s="5"/>
      <c r="C1072" s="11"/>
      <c r="D1072" s="5" t="s">
        <v>208</v>
      </c>
      <c r="G1072" s="97">
        <f>SUM(H1072:AE1072)/48</f>
        <v>0.66633017593199428</v>
      </c>
      <c r="H1072" s="97">
        <f>H1071*$W$20</f>
        <v>7.6976619820665115E-2</v>
      </c>
      <c r="I1072" s="97">
        <f t="shared" ref="I1072:AE1072" si="349">I1071*$W$20</f>
        <v>0.2737149341886394</v>
      </c>
      <c r="J1072" s="97">
        <f t="shared" si="349"/>
        <v>0.51578244227450376</v>
      </c>
      <c r="K1072" s="97">
        <f t="shared" si="349"/>
        <v>0.79564642380707407</v>
      </c>
      <c r="L1072" s="97">
        <f t="shared" si="349"/>
        <v>1.076573140499741</v>
      </c>
      <c r="M1072" s="97">
        <f t="shared" si="349"/>
        <v>1.3336354896226164</v>
      </c>
      <c r="N1072" s="97">
        <f t="shared" si="349"/>
        <v>1.5734828960934588</v>
      </c>
      <c r="O1072" s="97">
        <f t="shared" si="349"/>
        <v>1.7845155438213487</v>
      </c>
      <c r="P1072" s="97">
        <f t="shared" si="349"/>
        <v>1.9704030927238914</v>
      </c>
      <c r="Q1072" s="97">
        <f t="shared" si="349"/>
        <v>2.1108957686189309</v>
      </c>
      <c r="R1072" s="97">
        <f t="shared" si="349"/>
        <v>2.2140477010768804</v>
      </c>
      <c r="S1072" s="97">
        <f t="shared" si="349"/>
        <v>2.2662501698201138</v>
      </c>
      <c r="T1072" s="97">
        <f t="shared" si="349"/>
        <v>2.2662501698201138</v>
      </c>
      <c r="U1072" s="97">
        <f t="shared" si="349"/>
        <v>2.2140477010768804</v>
      </c>
      <c r="V1072" s="97">
        <f t="shared" si="349"/>
        <v>2.1108957686189309</v>
      </c>
      <c r="W1072" s="97">
        <f t="shared" si="349"/>
        <v>1.9704030927238914</v>
      </c>
      <c r="X1072" s="97">
        <f t="shared" si="349"/>
        <v>1.7845155438213487</v>
      </c>
      <c r="Y1072" s="97">
        <f t="shared" si="349"/>
        <v>1.5734828960934588</v>
      </c>
      <c r="Z1072" s="97">
        <f t="shared" si="349"/>
        <v>1.3336354896226164</v>
      </c>
      <c r="AA1072" s="97">
        <f t="shared" si="349"/>
        <v>1.076573140499741</v>
      </c>
      <c r="AB1072" s="97">
        <f t="shared" si="349"/>
        <v>0.79564642380707407</v>
      </c>
      <c r="AC1072" s="97">
        <f t="shared" si="349"/>
        <v>0.51578244227450376</v>
      </c>
      <c r="AD1072" s="97">
        <f t="shared" si="349"/>
        <v>0.2737149341886394</v>
      </c>
      <c r="AE1072" s="97">
        <f t="shared" si="349"/>
        <v>7.6976619820665115E-2</v>
      </c>
      <c r="AF1072" s="28"/>
      <c r="AG1072" s="11"/>
    </row>
    <row r="1073" spans="1:33">
      <c r="A1073" s="20" t="s">
        <v>835</v>
      </c>
      <c r="B1073" s="5"/>
      <c r="C1073" s="11"/>
      <c r="G1073" s="19">
        <f>SUM(H1073:AE1073)/48</f>
        <v>0.63250435925740989</v>
      </c>
      <c r="H1073" s="24">
        <f>H1072*(1-($F$16+$F$13)*$H$1061)</f>
        <v>7.3068951934183654E-2</v>
      </c>
      <c r="I1073" s="24">
        <f t="shared" ref="I1073:AE1073" si="350">I1072*(1-($F$16+$F$13)*$H$1061)</f>
        <v>0.25981997412321717</v>
      </c>
      <c r="J1073" s="24">
        <f t="shared" si="350"/>
        <v>0.489599083083328</v>
      </c>
      <c r="K1073" s="24">
        <f t="shared" si="350"/>
        <v>0.75525595217363339</v>
      </c>
      <c r="L1073" s="24">
        <f t="shared" si="350"/>
        <v>1.0219216073669501</v>
      </c>
      <c r="M1073" s="24">
        <f t="shared" si="350"/>
        <v>1.2659343540413002</v>
      </c>
      <c r="N1073" s="24">
        <f t="shared" si="350"/>
        <v>1.4936060633965054</v>
      </c>
      <c r="O1073" s="24">
        <f t="shared" si="350"/>
        <v>1.693925776437907</v>
      </c>
      <c r="P1073" s="24">
        <f t="shared" si="350"/>
        <v>1.8703768651914394</v>
      </c>
      <c r="Q1073" s="24">
        <f t="shared" si="350"/>
        <v>2.0037375220505704</v>
      </c>
      <c r="R1073" s="24">
        <f t="shared" si="350"/>
        <v>2.1016530139524976</v>
      </c>
      <c r="S1073" s="24">
        <f t="shared" si="350"/>
        <v>2.1512054584263072</v>
      </c>
      <c r="T1073" s="24">
        <f t="shared" si="350"/>
        <v>2.1512054584263072</v>
      </c>
      <c r="U1073" s="24">
        <f t="shared" si="350"/>
        <v>2.1016530139524976</v>
      </c>
      <c r="V1073" s="24">
        <f t="shared" si="350"/>
        <v>2.0037375220505704</v>
      </c>
      <c r="W1073" s="24">
        <f t="shared" si="350"/>
        <v>1.8703768651914394</v>
      </c>
      <c r="X1073" s="24">
        <f t="shared" si="350"/>
        <v>1.693925776437907</v>
      </c>
      <c r="Y1073" s="24">
        <f t="shared" si="350"/>
        <v>1.4936060633965054</v>
      </c>
      <c r="Z1073" s="24">
        <f t="shared" si="350"/>
        <v>1.2659343540413002</v>
      </c>
      <c r="AA1073" s="24">
        <f t="shared" si="350"/>
        <v>1.0219216073669501</v>
      </c>
      <c r="AB1073" s="24">
        <f t="shared" si="350"/>
        <v>0.75525595217363339</v>
      </c>
      <c r="AC1073" s="24">
        <f t="shared" si="350"/>
        <v>0.489599083083328</v>
      </c>
      <c r="AD1073" s="24">
        <f t="shared" si="350"/>
        <v>0.25981997412321717</v>
      </c>
      <c r="AE1073" s="24">
        <f t="shared" si="350"/>
        <v>7.3068951934183654E-2</v>
      </c>
      <c r="AF1073" s="28"/>
      <c r="AG1073" s="11"/>
    </row>
    <row r="1074" spans="1:33">
      <c r="A1074" s="20"/>
      <c r="B1074" s="24" t="s">
        <v>209</v>
      </c>
      <c r="C1074" s="11"/>
      <c r="D1074" t="s">
        <v>205</v>
      </c>
      <c r="G1074" s="27"/>
      <c r="H1074" s="24" t="s">
        <v>900</v>
      </c>
      <c r="K1074" t="s">
        <v>853</v>
      </c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  <c r="AE1074" s="24"/>
      <c r="AF1074" s="28"/>
      <c r="AG1074" s="11"/>
    </row>
    <row r="1075" spans="1:33">
      <c r="A1075" s="100" t="s">
        <v>836</v>
      </c>
      <c r="B1075" s="5"/>
      <c r="C1075" s="11"/>
      <c r="G1075" s="19">
        <f>SUM(H1075:AE1075)/48</f>
        <v>2.2035362559889516E-2</v>
      </c>
      <c r="H1075" s="2">
        <f>H1073^2/H1069</f>
        <v>2.5455964440011321E-3</v>
      </c>
      <c r="I1075" s="2">
        <f t="shared" ref="I1075:AE1075" si="351">I1073^2/I1069</f>
        <v>9.0516804292509398E-3</v>
      </c>
      <c r="J1075" s="2">
        <f t="shared" si="351"/>
        <v>1.7056788853434635E-2</v>
      </c>
      <c r="K1075" s="2">
        <f t="shared" si="351"/>
        <v>2.6311816650875709E-2</v>
      </c>
      <c r="L1075" s="2">
        <f t="shared" si="351"/>
        <v>3.5601988818786165E-2</v>
      </c>
      <c r="M1075" s="2">
        <f t="shared" si="351"/>
        <v>4.4102972667366298E-2</v>
      </c>
      <c r="N1075" s="2">
        <f t="shared" si="351"/>
        <v>5.2034662918737422E-2</v>
      </c>
      <c r="O1075" s="2">
        <f t="shared" si="351"/>
        <v>5.901345672490612E-2</v>
      </c>
      <c r="P1075" s="2">
        <f t="shared" si="351"/>
        <v>6.5160708768095543E-2</v>
      </c>
      <c r="Q1075" s="2">
        <f t="shared" si="351"/>
        <v>6.9806764375627009E-2</v>
      </c>
      <c r="R1075" s="2">
        <f t="shared" si="351"/>
        <v>7.3217971480700583E-2</v>
      </c>
      <c r="S1075" s="2">
        <f t="shared" si="351"/>
        <v>7.4944293305566956E-2</v>
      </c>
      <c r="T1075" s="2">
        <f t="shared" si="351"/>
        <v>7.4944293305566956E-2</v>
      </c>
      <c r="U1075" s="2">
        <f t="shared" si="351"/>
        <v>7.3217971480700583E-2</v>
      </c>
      <c r="V1075" s="2">
        <f t="shared" si="351"/>
        <v>6.9806764375627009E-2</v>
      </c>
      <c r="W1075" s="2">
        <f t="shared" si="351"/>
        <v>6.5160708768095543E-2</v>
      </c>
      <c r="X1075" s="2">
        <f t="shared" si="351"/>
        <v>5.901345672490612E-2</v>
      </c>
      <c r="Y1075" s="2">
        <f t="shared" si="351"/>
        <v>5.2034662918737422E-2</v>
      </c>
      <c r="Z1075" s="2">
        <f t="shared" si="351"/>
        <v>4.4102972667366298E-2</v>
      </c>
      <c r="AA1075" s="2">
        <f t="shared" si="351"/>
        <v>3.5601988818786165E-2</v>
      </c>
      <c r="AB1075" s="2">
        <f t="shared" si="351"/>
        <v>2.6311816650875709E-2</v>
      </c>
      <c r="AC1075" s="2">
        <f t="shared" si="351"/>
        <v>1.7056788853434635E-2</v>
      </c>
      <c r="AD1075" s="2">
        <f t="shared" si="351"/>
        <v>9.0516804292509398E-3</v>
      </c>
      <c r="AE1075" s="2">
        <f t="shared" si="351"/>
        <v>2.5455964440011321E-3</v>
      </c>
      <c r="AF1075" s="28"/>
      <c r="AG1075" s="11"/>
    </row>
    <row r="1076" spans="1:33">
      <c r="A1076" s="100"/>
      <c r="B1076" s="24" t="s">
        <v>210</v>
      </c>
      <c r="C1076" s="11"/>
      <c r="G1076" s="19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8"/>
      <c r="AG1076" s="11"/>
    </row>
    <row r="1077" spans="1:33">
      <c r="A1077" s="20" t="s">
        <v>837</v>
      </c>
      <c r="B1077" s="11"/>
      <c r="C1077" s="11"/>
      <c r="D1077" s="11"/>
      <c r="E1077" s="27"/>
      <c r="F1077" s="6"/>
      <c r="G1077" s="19">
        <f>SUM(H1077:AE1077)/24</f>
        <v>246.10608798198703</v>
      </c>
      <c r="H1077" s="24">
        <f>$W$24*(1-$H$1061*(1-$F$14))</f>
        <v>246.10608798198706</v>
      </c>
      <c r="I1077" s="24">
        <f t="shared" ref="I1077:AE1077" si="352">$W$24*(1-$H$1061*(1-$F$14))</f>
        <v>246.10608798198706</v>
      </c>
      <c r="J1077" s="24">
        <f t="shared" si="352"/>
        <v>246.10608798198706</v>
      </c>
      <c r="K1077" s="24">
        <f t="shared" si="352"/>
        <v>246.10608798198706</v>
      </c>
      <c r="L1077" s="24">
        <f t="shared" si="352"/>
        <v>246.10608798198706</v>
      </c>
      <c r="M1077" s="24">
        <f t="shared" si="352"/>
        <v>246.10608798198706</v>
      </c>
      <c r="N1077" s="24">
        <f t="shared" si="352"/>
        <v>246.10608798198706</v>
      </c>
      <c r="O1077" s="24">
        <f t="shared" si="352"/>
        <v>246.10608798198706</v>
      </c>
      <c r="P1077" s="24">
        <f t="shared" si="352"/>
        <v>246.10608798198706</v>
      </c>
      <c r="Q1077" s="24">
        <f t="shared" si="352"/>
        <v>246.10608798198706</v>
      </c>
      <c r="R1077" s="24">
        <f t="shared" si="352"/>
        <v>246.10608798198706</v>
      </c>
      <c r="S1077" s="24">
        <f t="shared" si="352"/>
        <v>246.10608798198706</v>
      </c>
      <c r="T1077" s="24">
        <f t="shared" si="352"/>
        <v>246.10608798198706</v>
      </c>
      <c r="U1077" s="24">
        <f t="shared" si="352"/>
        <v>246.10608798198706</v>
      </c>
      <c r="V1077" s="24">
        <f t="shared" si="352"/>
        <v>246.10608798198706</v>
      </c>
      <c r="W1077" s="24">
        <f t="shared" si="352"/>
        <v>246.10608798198706</v>
      </c>
      <c r="X1077" s="24">
        <f t="shared" si="352"/>
        <v>246.10608798198706</v>
      </c>
      <c r="Y1077" s="24">
        <f t="shared" si="352"/>
        <v>246.10608798198706</v>
      </c>
      <c r="Z1077" s="24">
        <f t="shared" si="352"/>
        <v>246.10608798198706</v>
      </c>
      <c r="AA1077" s="24">
        <f t="shared" si="352"/>
        <v>246.10608798198706</v>
      </c>
      <c r="AB1077" s="24">
        <f t="shared" si="352"/>
        <v>246.10608798198706</v>
      </c>
      <c r="AC1077" s="24">
        <f t="shared" si="352"/>
        <v>246.10608798198706</v>
      </c>
      <c r="AD1077" s="24">
        <f t="shared" si="352"/>
        <v>246.10608798198706</v>
      </c>
      <c r="AE1077" s="24">
        <f t="shared" si="352"/>
        <v>246.10608798198706</v>
      </c>
      <c r="AF1077" s="28"/>
      <c r="AG1077" s="11"/>
    </row>
    <row r="1078" spans="1:33">
      <c r="A1078" s="20"/>
      <c r="B1078" s="5" t="s">
        <v>211</v>
      </c>
      <c r="C1078" s="11"/>
      <c r="D1078" t="s">
        <v>212</v>
      </c>
      <c r="E1078" s="2"/>
      <c r="G1078" t="s">
        <v>213</v>
      </c>
      <c r="I1078" s="11"/>
      <c r="J1078" s="28"/>
      <c r="K1078" s="2" t="s">
        <v>844</v>
      </c>
      <c r="L1078" s="12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11"/>
    </row>
    <row r="1079" spans="1:33">
      <c r="A1079" s="12" t="s">
        <v>573</v>
      </c>
      <c r="B1079" t="s">
        <v>839</v>
      </c>
      <c r="E1079" s="12"/>
      <c r="F1079" s="6"/>
      <c r="G1079" s="32"/>
      <c r="H1079" s="33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</row>
    <row r="1080" spans="1:33">
      <c r="A1080" s="11"/>
      <c r="B1080" s="14" t="s">
        <v>870</v>
      </c>
      <c r="E1080" s="12"/>
      <c r="F1080" s="6"/>
      <c r="G1080" s="32"/>
      <c r="H1080" s="33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</row>
    <row r="1081" spans="1:33">
      <c r="A1081" s="11"/>
      <c r="B1081" s="14" t="s">
        <v>845</v>
      </c>
      <c r="E1081" s="12"/>
      <c r="F1081" s="6"/>
      <c r="G1081" s="32"/>
      <c r="H1081" s="33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</row>
    <row r="1082" spans="1:33">
      <c r="A1082" s="11"/>
      <c r="B1082" s="14" t="s">
        <v>842</v>
      </c>
      <c r="E1082" s="12"/>
      <c r="F1082" s="6"/>
      <c r="G1082" s="32"/>
      <c r="H1082" s="33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</row>
    <row r="1083" spans="1:33">
      <c r="A1083" s="20" t="s">
        <v>914</v>
      </c>
      <c r="B1083" s="11"/>
      <c r="C1083" s="11"/>
      <c r="D1083" s="11"/>
      <c r="E1083" s="27"/>
      <c r="F1083" s="6"/>
      <c r="G1083" s="19">
        <f>SUM(H1083:AE1083)/24</f>
        <v>12.551783676120003</v>
      </c>
      <c r="H1083" s="24">
        <f t="shared" ref="H1083:AE1083" si="353">$M$9*($F$9+273)^4*$F$11*$H$18</f>
        <v>12.551783676119999</v>
      </c>
      <c r="I1083" s="24">
        <f t="shared" si="353"/>
        <v>12.551783676119999</v>
      </c>
      <c r="J1083" s="24">
        <f t="shared" si="353"/>
        <v>12.551783676119999</v>
      </c>
      <c r="K1083" s="24">
        <f t="shared" si="353"/>
        <v>12.551783676119999</v>
      </c>
      <c r="L1083" s="24">
        <f t="shared" si="353"/>
        <v>12.551783676119999</v>
      </c>
      <c r="M1083" s="24">
        <f t="shared" si="353"/>
        <v>12.551783676119999</v>
      </c>
      <c r="N1083" s="24">
        <f t="shared" si="353"/>
        <v>12.551783676119999</v>
      </c>
      <c r="O1083" s="24">
        <f t="shared" si="353"/>
        <v>12.551783676119999</v>
      </c>
      <c r="P1083" s="24">
        <f t="shared" si="353"/>
        <v>12.551783676119999</v>
      </c>
      <c r="Q1083" s="24">
        <f t="shared" si="353"/>
        <v>12.551783676119999</v>
      </c>
      <c r="R1083" s="24">
        <f t="shared" si="353"/>
        <v>12.551783676119999</v>
      </c>
      <c r="S1083" s="24">
        <f t="shared" si="353"/>
        <v>12.551783676119999</v>
      </c>
      <c r="T1083" s="24">
        <f t="shared" si="353"/>
        <v>12.551783676119999</v>
      </c>
      <c r="U1083" s="24">
        <f t="shared" si="353"/>
        <v>12.551783676119999</v>
      </c>
      <c r="V1083" s="24">
        <f t="shared" si="353"/>
        <v>12.551783676119999</v>
      </c>
      <c r="W1083" s="24">
        <f t="shared" si="353"/>
        <v>12.551783676119999</v>
      </c>
      <c r="X1083" s="24">
        <f t="shared" si="353"/>
        <v>12.551783676119999</v>
      </c>
      <c r="Y1083" s="24">
        <f t="shared" si="353"/>
        <v>12.551783676119999</v>
      </c>
      <c r="Z1083" s="24">
        <f t="shared" si="353"/>
        <v>12.551783676119999</v>
      </c>
      <c r="AA1083" s="24">
        <f t="shared" si="353"/>
        <v>12.551783676119999</v>
      </c>
      <c r="AB1083" s="24">
        <f t="shared" si="353"/>
        <v>12.551783676119999</v>
      </c>
      <c r="AC1083" s="24">
        <f t="shared" si="353"/>
        <v>12.551783676119999</v>
      </c>
      <c r="AD1083" s="24">
        <f t="shared" si="353"/>
        <v>12.551783676119999</v>
      </c>
      <c r="AE1083" s="24">
        <f t="shared" si="353"/>
        <v>12.551783676119999</v>
      </c>
      <c r="AF1083" s="28"/>
      <c r="AG1083" s="11"/>
    </row>
    <row r="1084" spans="1:33">
      <c r="A1084" s="20"/>
      <c r="B1084" s="5" t="s">
        <v>272</v>
      </c>
      <c r="C1084" s="11"/>
      <c r="D1084" t="s">
        <v>743</v>
      </c>
      <c r="E1084" s="27"/>
      <c r="F1084" s="6"/>
      <c r="G1084" s="28"/>
      <c r="H1084" t="s">
        <v>717</v>
      </c>
      <c r="I1084" s="29"/>
      <c r="J1084" s="11"/>
      <c r="K1084" s="2" t="s">
        <v>273</v>
      </c>
      <c r="L1084" s="11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11"/>
    </row>
    <row r="1085" spans="1:33">
      <c r="A1085" s="20"/>
      <c r="B1085" s="27" t="s">
        <v>925</v>
      </c>
      <c r="C1085" s="11" t="s">
        <v>266</v>
      </c>
      <c r="E1085" s="27"/>
      <c r="F1085" s="6"/>
      <c r="G1085" s="28"/>
      <c r="I1085" s="29"/>
      <c r="J1085" s="11"/>
      <c r="K1085" s="2"/>
      <c r="L1085" s="11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11"/>
    </row>
    <row r="1086" spans="1:33">
      <c r="A1086" s="20"/>
      <c r="B1086" s="14"/>
      <c r="C1086" t="s">
        <v>274</v>
      </c>
      <c r="E1086" s="27"/>
      <c r="F1086" s="6"/>
      <c r="G1086" s="28"/>
      <c r="I1086" s="29"/>
      <c r="J1086" s="11"/>
      <c r="K1086" s="2"/>
      <c r="L1086" s="11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  <c r="AG1086" s="11"/>
    </row>
    <row r="1087" spans="1:33">
      <c r="A1087" s="20"/>
      <c r="B1087" s="16" t="s">
        <v>332</v>
      </c>
      <c r="C1087" s="11"/>
      <c r="D1087" s="11"/>
      <c r="E1087" s="27"/>
      <c r="F1087" s="6"/>
      <c r="G1087" s="32">
        <f>G1062+G1069+G1073+G1075+G1077+G1083</f>
        <v>287.70367036186775</v>
      </c>
      <c r="H1087" s="33"/>
      <c r="I1087" s="29"/>
      <c r="J1087" s="28"/>
      <c r="K1087" s="11"/>
      <c r="L1087" s="11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11"/>
    </row>
    <row r="1088" spans="1:33">
      <c r="A1088" s="20"/>
      <c r="B1088" s="16" t="s">
        <v>721</v>
      </c>
      <c r="G1088" s="32">
        <f>G1057-G1087</f>
        <v>11.4390654247008</v>
      </c>
      <c r="H1088" s="33"/>
      <c r="I1088" s="86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</row>
    <row r="1089" spans="1:33">
      <c r="A1089" s="39" t="s">
        <v>514</v>
      </c>
      <c r="B1089" s="16"/>
      <c r="G1089" s="32"/>
      <c r="H1089" s="33"/>
      <c r="I1089" s="59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</row>
    <row r="1090" spans="1:33">
      <c r="A1090" s="3" t="s">
        <v>771</v>
      </c>
      <c r="G1090" t="s">
        <v>535</v>
      </c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</row>
    <row r="1091" spans="1:33">
      <c r="A1091" s="20" t="s">
        <v>873</v>
      </c>
      <c r="B1091" s="11"/>
      <c r="C1091" s="11"/>
      <c r="D1091" s="11"/>
      <c r="E1091" s="14" t="s">
        <v>563</v>
      </c>
      <c r="F1091" s="31">
        <f>$F$15</f>
        <v>0.7</v>
      </c>
      <c r="G1091" s="19">
        <f>SUM(H1091:AE1091)/48</f>
        <v>18.161005573037439</v>
      </c>
      <c r="H1091" s="2">
        <f>H$71*H$27*$F$15</f>
        <v>0</v>
      </c>
      <c r="I1091" s="2">
        <f t="shared" ref="I1091:AE1091" si="354">I$71*I$27*$F$15</f>
        <v>0</v>
      </c>
      <c r="J1091" s="2">
        <f t="shared" si="354"/>
        <v>0</v>
      </c>
      <c r="K1091" s="2">
        <f t="shared" si="354"/>
        <v>0</v>
      </c>
      <c r="L1091" s="2">
        <f t="shared" si="354"/>
        <v>0</v>
      </c>
      <c r="M1091" s="2">
        <f t="shared" si="354"/>
        <v>0</v>
      </c>
      <c r="N1091" s="2">
        <f t="shared" si="354"/>
        <v>0</v>
      </c>
      <c r="O1091" s="2">
        <f t="shared" si="354"/>
        <v>0</v>
      </c>
      <c r="P1091" s="2">
        <f t="shared" si="354"/>
        <v>74.911011841008516</v>
      </c>
      <c r="Q1091" s="2">
        <f t="shared" si="354"/>
        <v>79.072735603606205</v>
      </c>
      <c r="R1091" s="2">
        <f t="shared" si="354"/>
        <v>82.06824912779534</v>
      </c>
      <c r="S1091" s="2">
        <f t="shared" si="354"/>
        <v>83.565703994680405</v>
      </c>
      <c r="T1091" s="2">
        <f t="shared" si="354"/>
        <v>83.565703994680405</v>
      </c>
      <c r="U1091" s="2">
        <f t="shared" si="354"/>
        <v>82.06824912779534</v>
      </c>
      <c r="V1091" s="2">
        <f t="shared" si="354"/>
        <v>79.072735603606205</v>
      </c>
      <c r="W1091" s="2">
        <f t="shared" si="354"/>
        <v>74.911011841008516</v>
      </c>
      <c r="X1091" s="2">
        <f t="shared" si="354"/>
        <v>69.248794024673487</v>
      </c>
      <c r="Y1091" s="2">
        <f t="shared" si="354"/>
        <v>62.584254360323889</v>
      </c>
      <c r="Z1091" s="2">
        <f t="shared" si="354"/>
        <v>54.749546804544856</v>
      </c>
      <c r="AA1091" s="2">
        <f t="shared" si="354"/>
        <v>45.91027118207402</v>
      </c>
      <c r="AB1091" s="2">
        <f t="shared" si="354"/>
        <v>0</v>
      </c>
      <c r="AC1091" s="2">
        <f t="shared" si="354"/>
        <v>0</v>
      </c>
      <c r="AD1091" s="2">
        <f t="shared" si="354"/>
        <v>0</v>
      </c>
      <c r="AE1091" s="2">
        <f t="shared" si="354"/>
        <v>0</v>
      </c>
      <c r="AF1091" s="2"/>
    </row>
    <row r="1092" spans="1:33">
      <c r="A1092" s="5"/>
      <c r="B1092" s="5" t="s">
        <v>214</v>
      </c>
      <c r="C1092" s="11"/>
      <c r="D1092" t="s">
        <v>215</v>
      </c>
      <c r="E1092" s="12"/>
      <c r="F1092" s="18"/>
      <c r="G1092" s="19"/>
      <c r="H1092" s="2" t="s">
        <v>860</v>
      </c>
      <c r="I1092" s="2"/>
      <c r="J1092" s="2" t="s">
        <v>861</v>
      </c>
      <c r="K1092" s="26"/>
      <c r="L1092" s="2"/>
      <c r="M1092" s="2"/>
      <c r="N1092" s="2"/>
      <c r="O1092" s="26"/>
      <c r="P1092" s="2"/>
      <c r="Q1092" s="2"/>
      <c r="R1092" s="26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</row>
    <row r="1093" spans="1:33">
      <c r="A1093" s="20" t="s">
        <v>874</v>
      </c>
      <c r="G1093" s="19">
        <f>SUM(H1093:AE1093)/48</f>
        <v>8.3191507504637165</v>
      </c>
      <c r="H1093" s="2">
        <f>H$71*$W$20*H$28^2</f>
        <v>4.5092683260264277</v>
      </c>
      <c r="I1093" s="2">
        <f t="shared" ref="I1093:AE1093" si="355">I$71*$W$20*I$28^2</f>
        <v>15.364310918089604</v>
      </c>
      <c r="J1093" s="2">
        <f t="shared" si="355"/>
        <v>26.050427872883265</v>
      </c>
      <c r="K1093" s="2">
        <f t="shared" si="355"/>
        <v>36.399517373939482</v>
      </c>
      <c r="L1093" s="2">
        <f t="shared" si="355"/>
        <v>45.91027118207402</v>
      </c>
      <c r="M1093" s="2">
        <f t="shared" si="355"/>
        <v>54.749546804544856</v>
      </c>
      <c r="N1093" s="2">
        <f t="shared" si="355"/>
        <v>62.584254360323889</v>
      </c>
      <c r="O1093" s="2">
        <f t="shared" si="355"/>
        <v>69.248794024673487</v>
      </c>
      <c r="P1093" s="2">
        <f t="shared" si="355"/>
        <v>0.18727752960252161</v>
      </c>
      <c r="Q1093" s="2">
        <f t="shared" si="355"/>
        <v>0.19768183900901587</v>
      </c>
      <c r="R1093" s="2">
        <f t="shared" si="355"/>
        <v>0.20517062281948872</v>
      </c>
      <c r="S1093" s="2">
        <f t="shared" si="355"/>
        <v>0.20891425998670138</v>
      </c>
      <c r="T1093" s="2">
        <f t="shared" si="355"/>
        <v>0.20891425998670138</v>
      </c>
      <c r="U1093" s="2">
        <f t="shared" si="355"/>
        <v>0.20517062281948872</v>
      </c>
      <c r="V1093" s="2">
        <f t="shared" si="355"/>
        <v>0.19768183900901587</v>
      </c>
      <c r="W1093" s="2">
        <f t="shared" si="355"/>
        <v>0.18727752960252161</v>
      </c>
      <c r="X1093" s="2">
        <f t="shared" si="355"/>
        <v>0.17312198506168403</v>
      </c>
      <c r="Y1093" s="2">
        <f t="shared" si="355"/>
        <v>0.15646063590081</v>
      </c>
      <c r="Z1093" s="2">
        <f t="shared" si="355"/>
        <v>0.13687386701136239</v>
      </c>
      <c r="AA1093" s="2">
        <f t="shared" si="355"/>
        <v>0.11477567795518526</v>
      </c>
      <c r="AB1093" s="2">
        <f t="shared" si="355"/>
        <v>36.399517373939482</v>
      </c>
      <c r="AC1093" s="2">
        <f t="shared" si="355"/>
        <v>26.050427872883265</v>
      </c>
      <c r="AD1093" s="2">
        <f t="shared" si="355"/>
        <v>15.364310918089604</v>
      </c>
      <c r="AE1093" s="2">
        <f t="shared" si="355"/>
        <v>4.5092683260264277</v>
      </c>
      <c r="AF1093" s="2"/>
    </row>
    <row r="1094" spans="1:33">
      <c r="A1094" s="16"/>
      <c r="B1094" s="5" t="s">
        <v>216</v>
      </c>
      <c r="G1094" s="19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</row>
    <row r="1095" spans="1:33">
      <c r="A1095" s="20" t="s">
        <v>875</v>
      </c>
      <c r="E1095" s="12"/>
      <c r="F1095" s="6"/>
      <c r="G1095" s="19">
        <f>(SUM(H1095:AE1095)+24*$W$24)/48</f>
        <v>204.53098648275002</v>
      </c>
      <c r="H1095" s="2">
        <f>$W$24*(1-H$27)</f>
        <v>272.70798197700003</v>
      </c>
      <c r="I1095" s="2">
        <f t="shared" ref="I1095:AE1095" si="356">$W$24*(1-I$27)</f>
        <v>272.70798197700003</v>
      </c>
      <c r="J1095" s="2">
        <f t="shared" si="356"/>
        <v>272.70798197700003</v>
      </c>
      <c r="K1095" s="2">
        <f t="shared" si="356"/>
        <v>272.70798197700003</v>
      </c>
      <c r="L1095" s="2">
        <f t="shared" si="356"/>
        <v>272.70798197700003</v>
      </c>
      <c r="M1095" s="2">
        <f t="shared" si="356"/>
        <v>272.70798197700003</v>
      </c>
      <c r="N1095" s="2">
        <f t="shared" si="356"/>
        <v>272.70798197700003</v>
      </c>
      <c r="O1095" s="2">
        <f t="shared" si="356"/>
        <v>272.70798197700003</v>
      </c>
      <c r="P1095" s="2">
        <f t="shared" si="356"/>
        <v>0</v>
      </c>
      <c r="Q1095" s="2">
        <f t="shared" si="356"/>
        <v>0</v>
      </c>
      <c r="R1095" s="2">
        <f t="shared" si="356"/>
        <v>0</v>
      </c>
      <c r="S1095" s="2">
        <f t="shared" si="356"/>
        <v>0</v>
      </c>
      <c r="T1095" s="2">
        <f t="shared" si="356"/>
        <v>0</v>
      </c>
      <c r="U1095" s="2">
        <f t="shared" si="356"/>
        <v>0</v>
      </c>
      <c r="V1095" s="2">
        <f t="shared" si="356"/>
        <v>0</v>
      </c>
      <c r="W1095" s="2">
        <f t="shared" si="356"/>
        <v>0</v>
      </c>
      <c r="X1095" s="2">
        <f t="shared" si="356"/>
        <v>0</v>
      </c>
      <c r="Y1095" s="2">
        <f t="shared" si="356"/>
        <v>0</v>
      </c>
      <c r="Z1095" s="2">
        <f t="shared" si="356"/>
        <v>0</v>
      </c>
      <c r="AA1095" s="2">
        <f t="shared" si="356"/>
        <v>0</v>
      </c>
      <c r="AB1095" s="2">
        <f t="shared" si="356"/>
        <v>272.70798197700003</v>
      </c>
      <c r="AC1095" s="2">
        <f t="shared" si="356"/>
        <v>272.70798197700003</v>
      </c>
      <c r="AD1095" s="2">
        <f t="shared" si="356"/>
        <v>272.70798197700003</v>
      </c>
      <c r="AE1095" s="2">
        <f t="shared" si="356"/>
        <v>272.70798197700003</v>
      </c>
      <c r="AF1095" s="2"/>
    </row>
    <row r="1096" spans="1:33">
      <c r="A1096" s="20"/>
      <c r="C1096" s="5" t="s">
        <v>217</v>
      </c>
      <c r="D1096" t="s">
        <v>196</v>
      </c>
      <c r="E1096" s="12"/>
      <c r="F1096" s="6"/>
      <c r="G1096" s="19"/>
      <c r="H1096" s="2" t="s">
        <v>860</v>
      </c>
      <c r="I1096" s="2"/>
      <c r="J1096" s="2"/>
      <c r="K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</row>
    <row r="1097" spans="1:33">
      <c r="A1097" s="20" t="s">
        <v>876</v>
      </c>
      <c r="E1097" s="12">
        <f>$F$7</f>
        <v>-5</v>
      </c>
      <c r="F1097" s="6" t="s">
        <v>558</v>
      </c>
      <c r="G1097" s="19">
        <f>SUM(H1097:AE1097)/48</f>
        <v>73.51128940800001</v>
      </c>
      <c r="H1097" s="2">
        <f t="shared" ref="H1097:AE1097" si="357">$M$9*($F$7+273)^4*H$27</f>
        <v>0</v>
      </c>
      <c r="I1097" s="2">
        <f t="shared" si="357"/>
        <v>0</v>
      </c>
      <c r="J1097" s="2">
        <f t="shared" si="357"/>
        <v>0</v>
      </c>
      <c r="K1097" s="2">
        <f t="shared" si="357"/>
        <v>0</v>
      </c>
      <c r="L1097" s="2">
        <f t="shared" si="357"/>
        <v>0</v>
      </c>
      <c r="M1097" s="2">
        <f t="shared" si="357"/>
        <v>0</v>
      </c>
      <c r="N1097" s="2">
        <f t="shared" si="357"/>
        <v>0</v>
      </c>
      <c r="O1097" s="2">
        <f t="shared" si="357"/>
        <v>0</v>
      </c>
      <c r="P1097" s="2">
        <f t="shared" si="357"/>
        <v>294.04515763199998</v>
      </c>
      <c r="Q1097" s="2">
        <f t="shared" si="357"/>
        <v>294.04515763199998</v>
      </c>
      <c r="R1097" s="2">
        <f t="shared" si="357"/>
        <v>294.04515763199998</v>
      </c>
      <c r="S1097" s="2">
        <f t="shared" si="357"/>
        <v>294.04515763199998</v>
      </c>
      <c r="T1097" s="2">
        <f t="shared" si="357"/>
        <v>294.04515763199998</v>
      </c>
      <c r="U1097" s="2">
        <f t="shared" si="357"/>
        <v>294.04515763199998</v>
      </c>
      <c r="V1097" s="2">
        <f t="shared" si="357"/>
        <v>294.04515763199998</v>
      </c>
      <c r="W1097" s="2">
        <f t="shared" si="357"/>
        <v>294.04515763199998</v>
      </c>
      <c r="X1097" s="2">
        <f t="shared" si="357"/>
        <v>294.04515763199998</v>
      </c>
      <c r="Y1097" s="2">
        <f t="shared" si="357"/>
        <v>294.04515763199998</v>
      </c>
      <c r="Z1097" s="2">
        <f t="shared" si="357"/>
        <v>294.04515763199998</v>
      </c>
      <c r="AA1097" s="2">
        <f t="shared" si="357"/>
        <v>294.04515763199998</v>
      </c>
      <c r="AB1097" s="2">
        <f t="shared" si="357"/>
        <v>0</v>
      </c>
      <c r="AC1097" s="2">
        <f t="shared" si="357"/>
        <v>0</v>
      </c>
      <c r="AD1097" s="2">
        <f t="shared" si="357"/>
        <v>0</v>
      </c>
      <c r="AE1097" s="2">
        <f t="shared" si="357"/>
        <v>0</v>
      </c>
      <c r="AF1097" s="2"/>
    </row>
    <row r="1098" spans="1:33">
      <c r="A1098" s="20"/>
      <c r="B1098" t="s">
        <v>865</v>
      </c>
      <c r="D1098" t="s">
        <v>743</v>
      </c>
      <c r="E1098" s="30"/>
      <c r="F1098" s="6"/>
      <c r="G1098" s="19"/>
      <c r="H1098" t="s">
        <v>617</v>
      </c>
      <c r="I1098" s="2"/>
      <c r="K1098" s="2" t="s">
        <v>860</v>
      </c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</row>
    <row r="1099" spans="1:33">
      <c r="A1099" s="20"/>
      <c r="B1099" s="16" t="s">
        <v>724</v>
      </c>
      <c r="E1099" s="30"/>
      <c r="F1099" s="6"/>
      <c r="G1099" s="32">
        <f>G1091+G1093+G1095+G1097</f>
        <v>304.52243221425118</v>
      </c>
      <c r="H1099" s="33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</row>
    <row r="1100" spans="1:33">
      <c r="A1100" s="39" t="s">
        <v>514</v>
      </c>
      <c r="B1100" s="16"/>
      <c r="E1100" s="30"/>
      <c r="G1100" s="32"/>
      <c r="H1100" s="33"/>
      <c r="I1100" s="3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</row>
    <row r="1101" spans="1:33">
      <c r="A1101" s="3" t="s">
        <v>327</v>
      </c>
      <c r="E1101" s="12"/>
      <c r="F1101" s="6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</row>
    <row r="1102" spans="1:33">
      <c r="A1102" s="3" t="s">
        <v>877</v>
      </c>
      <c r="G1102" s="19">
        <f>SUM(H1102:AE1102)/48</f>
        <v>10.23581618438083</v>
      </c>
      <c r="H1102" s="24">
        <f>H$71*H$1060*$F$16</f>
        <v>3.2209059471617345</v>
      </c>
      <c r="I1102" s="24">
        <f t="shared" ref="I1102:AE1102" si="358">I$71*I$1060*$F$16</f>
        <v>10.514819531888929</v>
      </c>
      <c r="J1102" s="24">
        <f t="shared" si="358"/>
        <v>15.749829036260534</v>
      </c>
      <c r="K1102" s="24">
        <f t="shared" si="358"/>
        <v>18.993326385787672</v>
      </c>
      <c r="L1102" s="24">
        <f t="shared" si="358"/>
        <v>21.019960281184041</v>
      </c>
      <c r="M1102" s="24">
        <f t="shared" si="358"/>
        <v>23.065538213451799</v>
      </c>
      <c r="N1102" s="24">
        <f t="shared" si="358"/>
        <v>24.396229132337925</v>
      </c>
      <c r="O1102" s="24">
        <f t="shared" si="358"/>
        <v>25.246433580104192</v>
      </c>
      <c r="P1102" s="24">
        <f t="shared" si="358"/>
        <v>25.703703246652008</v>
      </c>
      <c r="Q1102" s="24">
        <f t="shared" si="358"/>
        <v>25.884394600325464</v>
      </c>
      <c r="R1102" s="24">
        <f t="shared" si="358"/>
        <v>25.932902039538789</v>
      </c>
      <c r="S1102" s="24">
        <f t="shared" si="358"/>
        <v>25.931546430446875</v>
      </c>
      <c r="T1102" s="24">
        <f t="shared" si="358"/>
        <v>25.931546430446875</v>
      </c>
      <c r="U1102" s="24">
        <f t="shared" si="358"/>
        <v>25.932902039538789</v>
      </c>
      <c r="V1102" s="24">
        <f t="shared" si="358"/>
        <v>25.884394600325464</v>
      </c>
      <c r="W1102" s="24">
        <f t="shared" si="358"/>
        <v>25.703703246652008</v>
      </c>
      <c r="X1102" s="24">
        <f t="shared" si="358"/>
        <v>25.246433580104192</v>
      </c>
      <c r="Y1102" s="24">
        <f t="shared" si="358"/>
        <v>24.396229132337925</v>
      </c>
      <c r="Z1102" s="24">
        <f t="shared" si="358"/>
        <v>23.065538213451799</v>
      </c>
      <c r="AA1102" s="24">
        <f t="shared" si="358"/>
        <v>21.019960281184041</v>
      </c>
      <c r="AB1102" s="24">
        <f t="shared" si="358"/>
        <v>18.993326385787672</v>
      </c>
      <c r="AC1102" s="24">
        <f t="shared" si="358"/>
        <v>15.749829036260534</v>
      </c>
      <c r="AD1102" s="24">
        <f t="shared" si="358"/>
        <v>10.514819531888929</v>
      </c>
      <c r="AE1102" s="24">
        <f t="shared" si="358"/>
        <v>3.2209059471617345</v>
      </c>
      <c r="AF1102" s="2"/>
    </row>
    <row r="1103" spans="1:33">
      <c r="B1103" s="5" t="s">
        <v>197</v>
      </c>
      <c r="D1103" t="s">
        <v>218</v>
      </c>
      <c r="H1103" t="s">
        <v>866</v>
      </c>
      <c r="J1103" s="2"/>
      <c r="K1103" s="2"/>
      <c r="L1103" t="s">
        <v>219</v>
      </c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</row>
    <row r="1104" spans="1:33">
      <c r="A1104" t="s">
        <v>879</v>
      </c>
      <c r="C1104" s="11"/>
      <c r="G1104" s="98">
        <f>SUM(H1104:AE1104)/48</f>
        <v>27.323401505600927</v>
      </c>
      <c r="H1104" s="97">
        <f>H$71*(1-($F$16+$F$13)*H$1060)</f>
        <v>3.1564878282184998</v>
      </c>
      <c r="I1104" s="97">
        <f t="shared" ref="I1104:AE1104" si="359">I$71*(1-($F$16+$F$13)*I$1060)</f>
        <v>11.223899674744159</v>
      </c>
      <c r="J1104" s="97">
        <f t="shared" si="359"/>
        <v>21.150071344276061</v>
      </c>
      <c r="K1104" s="97">
        <f t="shared" si="359"/>
        <v>32.626117620695844</v>
      </c>
      <c r="L1104" s="97">
        <f t="shared" si="359"/>
        <v>44.145742201869453</v>
      </c>
      <c r="M1104" s="97">
        <f t="shared" si="359"/>
        <v>54.686789314486106</v>
      </c>
      <c r="N1104" s="97">
        <f t="shared" si="359"/>
        <v>64.521923942620873</v>
      </c>
      <c r="O1104" s="97">
        <f t="shared" si="359"/>
        <v>73.175486354970147</v>
      </c>
      <c r="P1104" s="97">
        <f t="shared" si="359"/>
        <v>80.797953889855691</v>
      </c>
      <c r="Q1104" s="97">
        <f t="shared" si="359"/>
        <v>86.558968369962614</v>
      </c>
      <c r="R1104" s="97">
        <f t="shared" si="359"/>
        <v>90.788795816520945</v>
      </c>
      <c r="S1104" s="97">
        <f t="shared" si="359"/>
        <v>92.929399776201919</v>
      </c>
      <c r="T1104" s="97">
        <f t="shared" si="359"/>
        <v>92.929399776201919</v>
      </c>
      <c r="U1104" s="97">
        <f t="shared" si="359"/>
        <v>90.788795816520945</v>
      </c>
      <c r="V1104" s="97">
        <f t="shared" si="359"/>
        <v>86.558968369962614</v>
      </c>
      <c r="W1104" s="97">
        <f t="shared" si="359"/>
        <v>80.797953889855691</v>
      </c>
      <c r="X1104" s="97">
        <f t="shared" si="359"/>
        <v>73.175486354970147</v>
      </c>
      <c r="Y1104" s="97">
        <f t="shared" si="359"/>
        <v>64.521923942620873</v>
      </c>
      <c r="Z1104" s="97">
        <f t="shared" si="359"/>
        <v>54.686789314486106</v>
      </c>
      <c r="AA1104" s="97">
        <f t="shared" si="359"/>
        <v>44.145742201869453</v>
      </c>
      <c r="AB1104" s="97">
        <f t="shared" si="359"/>
        <v>32.626117620695844</v>
      </c>
      <c r="AC1104" s="97">
        <f t="shared" si="359"/>
        <v>21.150071344276061</v>
      </c>
      <c r="AD1104" s="97">
        <f t="shared" si="359"/>
        <v>11.223899674744159</v>
      </c>
      <c r="AE1104" s="97">
        <f t="shared" si="359"/>
        <v>3.1564878282184998</v>
      </c>
      <c r="AF1104" s="28"/>
      <c r="AG1104" s="11"/>
    </row>
    <row r="1105" spans="1:33">
      <c r="B1105" s="24" t="s">
        <v>200</v>
      </c>
      <c r="D1105" s="2" t="s">
        <v>201</v>
      </c>
      <c r="E1105" s="106" t="s">
        <v>970</v>
      </c>
      <c r="G1105" t="s">
        <v>853</v>
      </c>
      <c r="I1105" t="s">
        <v>219</v>
      </c>
      <c r="AF1105" s="28"/>
      <c r="AG1105" s="11"/>
    </row>
    <row r="1106" spans="1:33">
      <c r="A1106" t="s">
        <v>878</v>
      </c>
      <c r="C1106" s="11"/>
      <c r="D1106" s="24"/>
      <c r="G1106" s="97">
        <f>SUM(H1106:AE1106)/48</f>
        <v>19.12638105392065</v>
      </c>
      <c r="H1106" s="97">
        <f>H1104*($W$20*(1-H$27)+$F$15*H$27)</f>
        <v>2.2095414797529496</v>
      </c>
      <c r="I1106" s="97">
        <f t="shared" ref="I1106:AE1106" si="360">I1104*($W$20*(1-I$27)+$F$15*I$27)</f>
        <v>7.8567297723209109</v>
      </c>
      <c r="J1106" s="97">
        <f t="shared" si="360"/>
        <v>14.805049940993241</v>
      </c>
      <c r="K1106" s="97">
        <f t="shared" si="360"/>
        <v>22.83828233448709</v>
      </c>
      <c r="L1106" s="97">
        <f t="shared" si="360"/>
        <v>30.902019541308615</v>
      </c>
      <c r="M1106" s="97">
        <f t="shared" si="360"/>
        <v>38.280752520140268</v>
      </c>
      <c r="N1106" s="97">
        <f t="shared" si="360"/>
        <v>45.165346759834605</v>
      </c>
      <c r="O1106" s="97">
        <f t="shared" si="360"/>
        <v>51.222840448479097</v>
      </c>
      <c r="P1106" s="97">
        <f t="shared" si="360"/>
        <v>56.558567722898978</v>
      </c>
      <c r="Q1106" s="97">
        <f t="shared" si="360"/>
        <v>60.591277858973825</v>
      </c>
      <c r="R1106" s="97">
        <f t="shared" si="360"/>
        <v>63.552157071564658</v>
      </c>
      <c r="S1106" s="97">
        <f t="shared" si="360"/>
        <v>65.050579843341339</v>
      </c>
      <c r="T1106" s="97">
        <f t="shared" si="360"/>
        <v>65.050579843341339</v>
      </c>
      <c r="U1106" s="97">
        <f t="shared" si="360"/>
        <v>63.552157071564658</v>
      </c>
      <c r="V1106" s="97">
        <f t="shared" si="360"/>
        <v>60.591277858973825</v>
      </c>
      <c r="W1106" s="97">
        <f t="shared" si="360"/>
        <v>56.558567722898978</v>
      </c>
      <c r="X1106" s="97">
        <f t="shared" si="360"/>
        <v>51.222840448479097</v>
      </c>
      <c r="Y1106" s="97">
        <f t="shared" si="360"/>
        <v>45.165346759834605</v>
      </c>
      <c r="Z1106" s="97">
        <f t="shared" si="360"/>
        <v>38.280752520140268</v>
      </c>
      <c r="AA1106" s="97">
        <f t="shared" si="360"/>
        <v>30.902019541308615</v>
      </c>
      <c r="AB1106" s="97">
        <f t="shared" si="360"/>
        <v>22.83828233448709</v>
      </c>
      <c r="AC1106" s="97">
        <f t="shared" si="360"/>
        <v>14.805049940993241</v>
      </c>
      <c r="AD1106" s="97">
        <f t="shared" si="360"/>
        <v>7.8567297723209109</v>
      </c>
      <c r="AE1106" s="97">
        <f t="shared" si="360"/>
        <v>2.2095414797529496</v>
      </c>
      <c r="AF1106" s="28"/>
      <c r="AG1106" s="11"/>
    </row>
    <row r="1107" spans="1:33">
      <c r="B1107" s="24" t="s">
        <v>917</v>
      </c>
      <c r="D1107" s="14" t="s">
        <v>202</v>
      </c>
      <c r="G1107" t="s">
        <v>888</v>
      </c>
      <c r="I1107" s="24" t="s">
        <v>220</v>
      </c>
      <c r="M1107" s="2" t="s">
        <v>860</v>
      </c>
      <c r="AF1107" s="28"/>
      <c r="AG1107" s="11"/>
    </row>
    <row r="1108" spans="1:33" ht="18">
      <c r="A1108" s="20" t="s">
        <v>881</v>
      </c>
      <c r="G1108" s="19">
        <f>SUM(H1108:AE1108)/48</f>
        <v>13.09111496161254</v>
      </c>
      <c r="H1108" s="2">
        <f>H$71*H$27*$F$15*(1-H$1060*$F$16)*(1-$H$1061*$F$16)</f>
        <v>0</v>
      </c>
      <c r="I1108" s="2">
        <f t="shared" ref="I1108:AE1108" si="361">I$71*I$27*$F$15*(1-I$1060*$F$16)*(1-$H$1061*$F$16)</f>
        <v>0</v>
      </c>
      <c r="J1108" s="2">
        <f t="shared" si="361"/>
        <v>0</v>
      </c>
      <c r="K1108" s="2">
        <f t="shared" si="361"/>
        <v>0</v>
      </c>
      <c r="L1108" s="2">
        <f t="shared" si="361"/>
        <v>0</v>
      </c>
      <c r="M1108" s="2">
        <f t="shared" si="361"/>
        <v>0</v>
      </c>
      <c r="N1108" s="2">
        <f t="shared" si="361"/>
        <v>0</v>
      </c>
      <c r="O1108" s="2">
        <f t="shared" si="361"/>
        <v>0</v>
      </c>
      <c r="P1108" s="2">
        <f t="shared" si="361"/>
        <v>54.085648552248394</v>
      </c>
      <c r="Q1108" s="2">
        <f t="shared" si="361"/>
        <v>57.920058645056066</v>
      </c>
      <c r="R1108" s="2">
        <f t="shared" si="361"/>
        <v>60.734223259971685</v>
      </c>
      <c r="S1108" s="2">
        <f t="shared" si="361"/>
        <v>62.158053042415339</v>
      </c>
      <c r="T1108" s="2">
        <f t="shared" si="361"/>
        <v>62.158053042415339</v>
      </c>
      <c r="U1108" s="2">
        <f t="shared" si="361"/>
        <v>60.734223259971685</v>
      </c>
      <c r="V1108" s="2">
        <f t="shared" si="361"/>
        <v>57.920058645056066</v>
      </c>
      <c r="W1108" s="2">
        <f t="shared" si="361"/>
        <v>54.085648552248394</v>
      </c>
      <c r="X1108" s="2">
        <f t="shared" si="361"/>
        <v>49.009391753539383</v>
      </c>
      <c r="Y1108" s="2">
        <f t="shared" si="361"/>
        <v>43.242062806840309</v>
      </c>
      <c r="Z1108" s="2">
        <f t="shared" si="361"/>
        <v>36.682405225979984</v>
      </c>
      <c r="AA1108" s="2">
        <f t="shared" si="361"/>
        <v>29.643691371659148</v>
      </c>
      <c r="AB1108" s="2">
        <f t="shared" si="361"/>
        <v>0</v>
      </c>
      <c r="AC1108" s="2">
        <f t="shared" si="361"/>
        <v>0</v>
      </c>
      <c r="AD1108" s="2">
        <f t="shared" si="361"/>
        <v>0</v>
      </c>
      <c r="AE1108" s="2">
        <f t="shared" si="361"/>
        <v>0</v>
      </c>
      <c r="AF1108" s="2"/>
    </row>
    <row r="1109" spans="1:33">
      <c r="B1109" s="5" t="s">
        <v>214</v>
      </c>
      <c r="C1109" s="11"/>
      <c r="D1109" t="s">
        <v>221</v>
      </c>
      <c r="E1109" s="12"/>
      <c r="F1109" s="18"/>
      <c r="G1109" s="2" t="s">
        <v>860</v>
      </c>
      <c r="I1109" s="2" t="s">
        <v>867</v>
      </c>
      <c r="K1109" s="9"/>
      <c r="AF1109" s="2"/>
    </row>
    <row r="1110" spans="1:33">
      <c r="A1110" s="11" t="s">
        <v>568</v>
      </c>
      <c r="B1110" t="s">
        <v>883</v>
      </c>
      <c r="C1110" s="11"/>
      <c r="E1110" s="12"/>
      <c r="F1110" s="18"/>
      <c r="G1110" s="108" t="s">
        <v>222</v>
      </c>
      <c r="H1110" s="2"/>
      <c r="J1110" t="s">
        <v>868</v>
      </c>
      <c r="AF1110" s="2"/>
    </row>
    <row r="1111" spans="1:33">
      <c r="A1111" s="11"/>
      <c r="B1111" t="s">
        <v>223</v>
      </c>
      <c r="C1111" s="11"/>
      <c r="E1111" s="12"/>
      <c r="F1111" s="18"/>
      <c r="G1111" s="19"/>
      <c r="I1111" s="12" t="s">
        <v>858</v>
      </c>
      <c r="K1111" s="11"/>
      <c r="AF1111" s="2"/>
    </row>
    <row r="1112" spans="1:33">
      <c r="A1112" s="11"/>
      <c r="B1112" s="2" t="s">
        <v>224</v>
      </c>
      <c r="C1112" s="11"/>
      <c r="E1112" s="12"/>
      <c r="F1112" s="18"/>
      <c r="G1112" s="19"/>
      <c r="H1112" s="2"/>
      <c r="K1112" s="11"/>
      <c r="L1112" s="12"/>
      <c r="AF1112" s="2"/>
    </row>
    <row r="1113" spans="1:33" ht="18">
      <c r="A1113" s="20" t="s">
        <v>882</v>
      </c>
      <c r="G1113" s="19">
        <f>SUM(H1113:AE1113)/48</f>
        <v>5.2522630908129369</v>
      </c>
      <c r="H1113" s="2">
        <f>H$71*$W$20*H$28^2*(1-H$1060*$F$16)*(1-$H$1061*$F$16)</f>
        <v>2.1424233469481044</v>
      </c>
      <c r="I1113" s="2">
        <f t="shared" ref="I1113:AE1113" si="362">I$71*$W$20*I$28^2*(1-I$1060*$F$16)*(1-$H$1061*$F$16)</f>
        <v>7.6055895471406423</v>
      </c>
      <c r="J1113" s="2">
        <f t="shared" si="362"/>
        <v>14.277741548732168</v>
      </c>
      <c r="K1113" s="2">
        <f t="shared" si="362"/>
        <v>21.954317259983402</v>
      </c>
      <c r="L1113" s="2">
        <f t="shared" si="362"/>
        <v>29.643691371659148</v>
      </c>
      <c r="M1113" s="2">
        <f t="shared" si="362"/>
        <v>36.682405225979984</v>
      </c>
      <c r="N1113" s="2">
        <f t="shared" si="362"/>
        <v>43.242062806840309</v>
      </c>
      <c r="O1113" s="2">
        <f t="shared" si="362"/>
        <v>49.009391753539383</v>
      </c>
      <c r="P1113" s="2">
        <f t="shared" si="362"/>
        <v>0.13521412138062122</v>
      </c>
      <c r="Q1113" s="2">
        <f t="shared" si="362"/>
        <v>0.1448001466126404</v>
      </c>
      <c r="R1113" s="2">
        <f t="shared" si="362"/>
        <v>0.15183555814992949</v>
      </c>
      <c r="S1113" s="2">
        <f t="shared" si="362"/>
        <v>0.15539513260603863</v>
      </c>
      <c r="T1113" s="2">
        <f t="shared" si="362"/>
        <v>0.15539513260603863</v>
      </c>
      <c r="U1113" s="2">
        <f t="shared" si="362"/>
        <v>0.15183555814992949</v>
      </c>
      <c r="V1113" s="2">
        <f t="shared" si="362"/>
        <v>0.1448001466126404</v>
      </c>
      <c r="W1113" s="2">
        <f t="shared" si="362"/>
        <v>0.13521412138062122</v>
      </c>
      <c r="X1113" s="2">
        <f t="shared" si="362"/>
        <v>0.12252347938384868</v>
      </c>
      <c r="Y1113" s="2">
        <f t="shared" si="362"/>
        <v>0.10810515701710095</v>
      </c>
      <c r="Z1113" s="2">
        <f t="shared" si="362"/>
        <v>9.1706013064950131E-2</v>
      </c>
      <c r="AA1113" s="2">
        <f t="shared" si="362"/>
        <v>7.4109228429148008E-2</v>
      </c>
      <c r="AB1113" s="2">
        <f t="shared" si="362"/>
        <v>21.954317259983402</v>
      </c>
      <c r="AC1113" s="2">
        <f t="shared" si="362"/>
        <v>14.277741548732168</v>
      </c>
      <c r="AD1113" s="2">
        <f t="shared" si="362"/>
        <v>7.6055895471406423</v>
      </c>
      <c r="AE1113" s="2">
        <f t="shared" si="362"/>
        <v>2.1424233469481044</v>
      </c>
      <c r="AF1113" s="2"/>
    </row>
    <row r="1114" spans="1:33">
      <c r="A1114" s="14"/>
      <c r="B1114" s="5" t="s">
        <v>12</v>
      </c>
      <c r="G1114" s="2"/>
      <c r="H1114" s="2"/>
      <c r="I1114" s="2"/>
      <c r="J1114" s="10"/>
      <c r="K1114" s="9"/>
      <c r="AF1114" s="2"/>
    </row>
    <row r="1115" spans="1:33">
      <c r="A1115" s="11" t="s">
        <v>568</v>
      </c>
      <c r="B1115" t="s">
        <v>726</v>
      </c>
      <c r="C1115" s="11"/>
      <c r="E1115" s="12"/>
      <c r="F1115" s="18"/>
      <c r="G1115" s="28" t="s">
        <v>222</v>
      </c>
      <c r="H1115" s="2"/>
      <c r="J1115" s="11"/>
      <c r="K1115" t="s">
        <v>868</v>
      </c>
      <c r="M1115" s="10"/>
      <c r="N1115" s="10"/>
      <c r="AF1115" s="2"/>
    </row>
    <row r="1116" spans="1:33">
      <c r="A1116" s="11"/>
      <c r="B1116" t="s">
        <v>223</v>
      </c>
      <c r="C1116" s="11"/>
      <c r="E1116" s="12"/>
      <c r="F1116" s="18"/>
      <c r="G1116" s="19"/>
      <c r="H1116" s="2"/>
      <c r="J1116" s="11"/>
      <c r="M1116" s="10"/>
      <c r="N1116" s="10"/>
      <c r="AF1116" s="2"/>
    </row>
    <row r="1117" spans="1:33">
      <c r="A1117" t="s">
        <v>834</v>
      </c>
      <c r="B1117" s="5"/>
      <c r="C1117" s="11"/>
      <c r="D1117" s="5" t="s">
        <v>206</v>
      </c>
      <c r="F1117" t="s">
        <v>225</v>
      </c>
      <c r="G1117" s="97">
        <f>SUM(H1117:AE1117)/48</f>
        <v>0.9519002513314202</v>
      </c>
      <c r="H1117" s="97">
        <f>H1106*$H$1061*$F$16</f>
        <v>0.10996659974380731</v>
      </c>
      <c r="I1117" s="97">
        <f t="shared" ref="I1117:AE1117" si="363">I1106*$H$1061*$F$16</f>
        <v>0.39102133455519916</v>
      </c>
      <c r="J1117" s="97">
        <f t="shared" si="363"/>
        <v>0.73683206039214821</v>
      </c>
      <c r="K1117" s="97">
        <f t="shared" si="363"/>
        <v>1.1366377482958201</v>
      </c>
      <c r="L1117" s="97">
        <f t="shared" si="363"/>
        <v>1.5379616292853442</v>
      </c>
      <c r="M1117" s="97">
        <f t="shared" si="363"/>
        <v>1.9051935566037379</v>
      </c>
      <c r="N1117" s="97">
        <f t="shared" si="363"/>
        <v>2.2478327087049412</v>
      </c>
      <c r="O1117" s="97">
        <f t="shared" si="363"/>
        <v>2.5493079197447841</v>
      </c>
      <c r="P1117" s="97">
        <f t="shared" si="363"/>
        <v>2.8148615610341308</v>
      </c>
      <c r="Q1117" s="97">
        <f t="shared" si="363"/>
        <v>3.0155653837413299</v>
      </c>
      <c r="R1117" s="97">
        <f t="shared" si="363"/>
        <v>3.1629252872526865</v>
      </c>
      <c r="S1117" s="97">
        <f t="shared" si="363"/>
        <v>3.2375002426001629</v>
      </c>
      <c r="T1117" s="97">
        <f t="shared" si="363"/>
        <v>3.2375002426001629</v>
      </c>
      <c r="U1117" s="97">
        <f t="shared" si="363"/>
        <v>3.1629252872526865</v>
      </c>
      <c r="V1117" s="97">
        <f t="shared" si="363"/>
        <v>3.0155653837413299</v>
      </c>
      <c r="W1117" s="97">
        <f t="shared" si="363"/>
        <v>2.8148615610341308</v>
      </c>
      <c r="X1117" s="97">
        <f t="shared" si="363"/>
        <v>2.5493079197447841</v>
      </c>
      <c r="Y1117" s="97">
        <f t="shared" si="363"/>
        <v>2.2478327087049412</v>
      </c>
      <c r="Z1117" s="97">
        <f t="shared" si="363"/>
        <v>1.9051935566037379</v>
      </c>
      <c r="AA1117" s="97">
        <f t="shared" si="363"/>
        <v>1.5379616292853442</v>
      </c>
      <c r="AB1117" s="97">
        <f t="shared" si="363"/>
        <v>1.1366377482958201</v>
      </c>
      <c r="AC1117" s="97">
        <f t="shared" si="363"/>
        <v>0.73683206039214821</v>
      </c>
      <c r="AD1117" s="97">
        <f t="shared" si="363"/>
        <v>0.39102133455519916</v>
      </c>
      <c r="AE1117" s="97">
        <f t="shared" si="363"/>
        <v>0.10996659974380731</v>
      </c>
      <c r="AF1117" s="28"/>
      <c r="AG1117" s="11"/>
    </row>
    <row r="1118" spans="1:33">
      <c r="A1118" t="s">
        <v>918</v>
      </c>
      <c r="B1118" s="5"/>
      <c r="C1118" s="11"/>
      <c r="D1118" s="104" t="s">
        <v>226</v>
      </c>
      <c r="G1118" s="97">
        <f>SUM(H1118:AE1118)/48</f>
        <v>0.66633017593199428</v>
      </c>
      <c r="H1118" s="97">
        <f>H1117*($W$20*(1-H$27)+$F$15*H$27)</f>
        <v>7.6976619820665115E-2</v>
      </c>
      <c r="I1118" s="97">
        <f t="shared" ref="I1118:AE1118" si="364">I1117*($W$20*(1-I$27)+$F$15*I$27)</f>
        <v>0.2737149341886394</v>
      </c>
      <c r="J1118" s="97">
        <f t="shared" si="364"/>
        <v>0.51578244227450376</v>
      </c>
      <c r="K1118" s="97">
        <f t="shared" si="364"/>
        <v>0.79564642380707407</v>
      </c>
      <c r="L1118" s="97">
        <f t="shared" si="364"/>
        <v>1.076573140499741</v>
      </c>
      <c r="M1118" s="97">
        <f t="shared" si="364"/>
        <v>1.3336354896226164</v>
      </c>
      <c r="N1118" s="97">
        <f t="shared" si="364"/>
        <v>1.5734828960934588</v>
      </c>
      <c r="O1118" s="97">
        <f t="shared" si="364"/>
        <v>1.7845155438213487</v>
      </c>
      <c r="P1118" s="97">
        <f t="shared" si="364"/>
        <v>1.9704030927238914</v>
      </c>
      <c r="Q1118" s="97">
        <f t="shared" si="364"/>
        <v>2.1108957686189309</v>
      </c>
      <c r="R1118" s="97">
        <f t="shared" si="364"/>
        <v>2.2140477010768804</v>
      </c>
      <c r="S1118" s="97">
        <f t="shared" si="364"/>
        <v>2.2662501698201138</v>
      </c>
      <c r="T1118" s="97">
        <f t="shared" si="364"/>
        <v>2.2662501698201138</v>
      </c>
      <c r="U1118" s="97">
        <f t="shared" si="364"/>
        <v>2.2140477010768804</v>
      </c>
      <c r="V1118" s="97">
        <f t="shared" si="364"/>
        <v>2.1108957686189309</v>
      </c>
      <c r="W1118" s="97">
        <f t="shared" si="364"/>
        <v>1.9704030927238914</v>
      </c>
      <c r="X1118" s="97">
        <f t="shared" si="364"/>
        <v>1.7845155438213487</v>
      </c>
      <c r="Y1118" s="97">
        <f t="shared" si="364"/>
        <v>1.5734828960934588</v>
      </c>
      <c r="Z1118" s="97">
        <f t="shared" si="364"/>
        <v>1.3336354896226164</v>
      </c>
      <c r="AA1118" s="97">
        <f t="shared" si="364"/>
        <v>1.076573140499741</v>
      </c>
      <c r="AB1118" s="97">
        <f t="shared" si="364"/>
        <v>0.79564642380707407</v>
      </c>
      <c r="AC1118" s="97">
        <f t="shared" si="364"/>
        <v>0.51578244227450376</v>
      </c>
      <c r="AD1118" s="97">
        <f t="shared" si="364"/>
        <v>0.2737149341886394</v>
      </c>
      <c r="AE1118" s="97">
        <f t="shared" si="364"/>
        <v>7.6976619820665115E-2</v>
      </c>
      <c r="AF1118" s="28"/>
      <c r="AG1118" s="11"/>
    </row>
    <row r="1119" spans="1:33">
      <c r="A1119" s="20" t="s">
        <v>835</v>
      </c>
      <c r="B1119" s="5"/>
      <c r="C1119" s="11"/>
      <c r="G1119" s="19">
        <f>SUM(H1119:AE1119)/48</f>
        <v>0.63250435925740989</v>
      </c>
      <c r="H1119" s="24">
        <f>H1118*(1-($F$16+$F$13)*$H$1061)</f>
        <v>7.3068951934183654E-2</v>
      </c>
      <c r="I1119" s="24">
        <f t="shared" ref="I1119:AE1119" si="365">I1118*(1-($F$16+$F$13)*$H$1061)</f>
        <v>0.25981997412321717</v>
      </c>
      <c r="J1119" s="24">
        <f t="shared" si="365"/>
        <v>0.489599083083328</v>
      </c>
      <c r="K1119" s="24">
        <f t="shared" si="365"/>
        <v>0.75525595217363339</v>
      </c>
      <c r="L1119" s="24">
        <f t="shared" si="365"/>
        <v>1.0219216073669501</v>
      </c>
      <c r="M1119" s="24">
        <f t="shared" si="365"/>
        <v>1.2659343540413002</v>
      </c>
      <c r="N1119" s="24">
        <f t="shared" si="365"/>
        <v>1.4936060633965054</v>
      </c>
      <c r="O1119" s="24">
        <f t="shared" si="365"/>
        <v>1.693925776437907</v>
      </c>
      <c r="P1119" s="24">
        <f t="shared" si="365"/>
        <v>1.8703768651914394</v>
      </c>
      <c r="Q1119" s="24">
        <f t="shared" si="365"/>
        <v>2.0037375220505704</v>
      </c>
      <c r="R1119" s="24">
        <f t="shared" si="365"/>
        <v>2.1016530139524976</v>
      </c>
      <c r="S1119" s="24">
        <f t="shared" si="365"/>
        <v>2.1512054584263072</v>
      </c>
      <c r="T1119" s="24">
        <f t="shared" si="365"/>
        <v>2.1512054584263072</v>
      </c>
      <c r="U1119" s="24">
        <f t="shared" si="365"/>
        <v>2.1016530139524976</v>
      </c>
      <c r="V1119" s="24">
        <f t="shared" si="365"/>
        <v>2.0037375220505704</v>
      </c>
      <c r="W1119" s="24">
        <f t="shared" si="365"/>
        <v>1.8703768651914394</v>
      </c>
      <c r="X1119" s="24">
        <f t="shared" si="365"/>
        <v>1.693925776437907</v>
      </c>
      <c r="Y1119" s="24">
        <f t="shared" si="365"/>
        <v>1.4936060633965054</v>
      </c>
      <c r="Z1119" s="24">
        <f t="shared" si="365"/>
        <v>1.2659343540413002</v>
      </c>
      <c r="AA1119" s="24">
        <f t="shared" si="365"/>
        <v>1.0219216073669501</v>
      </c>
      <c r="AB1119" s="24">
        <f t="shared" si="365"/>
        <v>0.75525595217363339</v>
      </c>
      <c r="AC1119" s="24">
        <f t="shared" si="365"/>
        <v>0.489599083083328</v>
      </c>
      <c r="AD1119" s="24">
        <f t="shared" si="365"/>
        <v>0.25981997412321717</v>
      </c>
      <c r="AE1119" s="24">
        <f t="shared" si="365"/>
        <v>7.3068951934183654E-2</v>
      </c>
      <c r="AF1119" s="28"/>
      <c r="AG1119" s="11"/>
    </row>
    <row r="1120" spans="1:33">
      <c r="A1120" s="20"/>
      <c r="B1120" s="24" t="s">
        <v>227</v>
      </c>
      <c r="C1120" s="11"/>
      <c r="G1120" s="19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8"/>
      <c r="AG1120" s="11"/>
    </row>
    <row r="1121" spans="1:33">
      <c r="A1121" s="100" t="s">
        <v>836</v>
      </c>
      <c r="B1121" s="5"/>
      <c r="C1121" s="11"/>
      <c r="G1121" s="19">
        <f>SUM(H1121:AE1121)/48</f>
        <v>2.1809703106348857E-2</v>
      </c>
      <c r="H1121" s="2">
        <f>H1119^2/(H1108+H1113)</f>
        <v>2.49207130064447E-3</v>
      </c>
      <c r="I1121" s="2">
        <f t="shared" ref="I1121:AE1121" si="366">I1119^2/(I1108+I1113)</f>
        <v>8.8758956205792893E-3</v>
      </c>
      <c r="J1121" s="2">
        <f t="shared" si="366"/>
        <v>1.6788878082564886E-2</v>
      </c>
      <c r="K1121" s="2">
        <f t="shared" si="366"/>
        <v>2.5981748671064477E-2</v>
      </c>
      <c r="L1121" s="2">
        <f t="shared" si="366"/>
        <v>3.5229208080403807E-2</v>
      </c>
      <c r="M1121" s="2">
        <f t="shared" si="366"/>
        <v>4.3688241784291294E-2</v>
      </c>
      <c r="N1121" s="2">
        <f t="shared" si="366"/>
        <v>5.159002433764362E-2</v>
      </c>
      <c r="O1121" s="2">
        <f t="shared" si="366"/>
        <v>5.8547646347264524E-2</v>
      </c>
      <c r="P1121" s="2">
        <f t="shared" si="366"/>
        <v>6.4519622989045539E-2</v>
      </c>
      <c r="Q1121" s="2">
        <f t="shared" si="366"/>
        <v>6.9146195148405962E-2</v>
      </c>
      <c r="R1121" s="2">
        <f t="shared" si="366"/>
        <v>7.2544445753171247E-2</v>
      </c>
      <c r="S1121" s="2">
        <f t="shared" si="366"/>
        <v>7.426462601403859E-2</v>
      </c>
      <c r="T1121" s="2">
        <f t="shared" si="366"/>
        <v>7.426462601403859E-2</v>
      </c>
      <c r="U1121" s="2">
        <f t="shared" si="366"/>
        <v>7.2544445753171247E-2</v>
      </c>
      <c r="V1121" s="2">
        <f t="shared" si="366"/>
        <v>6.9146195148405962E-2</v>
      </c>
      <c r="W1121" s="2">
        <f t="shared" si="366"/>
        <v>6.4519622989045539E-2</v>
      </c>
      <c r="X1121" s="2">
        <f t="shared" si="366"/>
        <v>5.8401642241660369E-2</v>
      </c>
      <c r="Y1121" s="2">
        <f t="shared" si="366"/>
        <v>5.1461370910367697E-2</v>
      </c>
      <c r="Z1121" s="2">
        <f t="shared" si="366"/>
        <v>4.3579293550415253E-2</v>
      </c>
      <c r="AA1121" s="2">
        <f t="shared" si="366"/>
        <v>3.5141354693669628E-2</v>
      </c>
      <c r="AB1121" s="2">
        <f t="shared" si="366"/>
        <v>2.5981748671064477E-2</v>
      </c>
      <c r="AC1121" s="2">
        <f t="shared" si="366"/>
        <v>1.6788878082564886E-2</v>
      </c>
      <c r="AD1121" s="2">
        <f t="shared" si="366"/>
        <v>8.8758956205792893E-3</v>
      </c>
      <c r="AE1121" s="2">
        <f t="shared" si="366"/>
        <v>2.49207130064447E-3</v>
      </c>
      <c r="AF1121" s="28"/>
      <c r="AG1121" s="11"/>
    </row>
    <row r="1122" spans="1:33" ht="18">
      <c r="A1122" s="100"/>
      <c r="B1122" s="24" t="s">
        <v>228</v>
      </c>
      <c r="C1122" s="11"/>
      <c r="G1122" s="19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8"/>
      <c r="AG1122" s="11"/>
    </row>
    <row r="1123" spans="1:33" ht="18">
      <c r="A1123" s="20" t="s">
        <v>890</v>
      </c>
      <c r="G1123" s="19">
        <f>(SUM(H1123:AE1123)+24*$W$24*(1-$H$1061))/48</f>
        <v>184.17239413962781</v>
      </c>
      <c r="H1123" s="2">
        <f>$W$24*(1-H$27)*(1-$H$1061)</f>
        <v>245.56319218617043</v>
      </c>
      <c r="I1123" s="2">
        <f t="shared" ref="I1123:AE1123" si="367">$W$24*(1-I$27)*(1-$H$1061)</f>
        <v>245.56319218617043</v>
      </c>
      <c r="J1123" s="2">
        <f t="shared" si="367"/>
        <v>245.56319218617043</v>
      </c>
      <c r="K1123" s="2">
        <f t="shared" si="367"/>
        <v>245.56319218617043</v>
      </c>
      <c r="L1123" s="2">
        <f t="shared" si="367"/>
        <v>245.56319218617043</v>
      </c>
      <c r="M1123" s="2">
        <f t="shared" si="367"/>
        <v>245.56319218617043</v>
      </c>
      <c r="N1123" s="2">
        <f t="shared" si="367"/>
        <v>245.56319218617043</v>
      </c>
      <c r="O1123" s="2">
        <f t="shared" si="367"/>
        <v>245.56319218617043</v>
      </c>
      <c r="P1123" s="2">
        <f t="shared" si="367"/>
        <v>0</v>
      </c>
      <c r="Q1123" s="2">
        <f t="shared" si="367"/>
        <v>0</v>
      </c>
      <c r="R1123" s="2">
        <f t="shared" si="367"/>
        <v>0</v>
      </c>
      <c r="S1123" s="2">
        <f t="shared" si="367"/>
        <v>0</v>
      </c>
      <c r="T1123" s="2">
        <f t="shared" si="367"/>
        <v>0</v>
      </c>
      <c r="U1123" s="2">
        <f t="shared" si="367"/>
        <v>0</v>
      </c>
      <c r="V1123" s="2">
        <f t="shared" si="367"/>
        <v>0</v>
      </c>
      <c r="W1123" s="2">
        <f t="shared" si="367"/>
        <v>0</v>
      </c>
      <c r="X1123" s="2">
        <f t="shared" si="367"/>
        <v>0</v>
      </c>
      <c r="Y1123" s="2">
        <f t="shared" si="367"/>
        <v>0</v>
      </c>
      <c r="Z1123" s="2">
        <f t="shared" si="367"/>
        <v>0</v>
      </c>
      <c r="AA1123" s="2">
        <f t="shared" si="367"/>
        <v>0</v>
      </c>
      <c r="AB1123" s="2">
        <f t="shared" si="367"/>
        <v>245.56319218617043</v>
      </c>
      <c r="AC1123" s="2">
        <f t="shared" si="367"/>
        <v>245.56319218617043</v>
      </c>
      <c r="AD1123" s="2">
        <f t="shared" si="367"/>
        <v>245.56319218617043</v>
      </c>
      <c r="AE1123" s="2">
        <f t="shared" si="367"/>
        <v>245.56319218617043</v>
      </c>
      <c r="AF1123" s="2"/>
    </row>
    <row r="1124" spans="1:33">
      <c r="A1124" s="14"/>
      <c r="B1124" s="5" t="s">
        <v>229</v>
      </c>
      <c r="D1124" t="s">
        <v>230</v>
      </c>
      <c r="E1124" s="12"/>
      <c r="F1124" s="6"/>
      <c r="G1124" s="2" t="s">
        <v>860</v>
      </c>
      <c r="I1124" s="2" t="s">
        <v>231</v>
      </c>
      <c r="J1124" s="10"/>
      <c r="K1124" s="9"/>
      <c r="AF1124" s="2"/>
    </row>
    <row r="1125" spans="1:33" ht="18">
      <c r="A1125" s="20" t="s">
        <v>891</v>
      </c>
      <c r="D1125" s="105" t="s">
        <v>892</v>
      </c>
      <c r="E1125">
        <f>$F$7</f>
        <v>-5</v>
      </c>
      <c r="F1125" s="5" t="s">
        <v>893</v>
      </c>
      <c r="G1125" s="19">
        <f>SUM(H1125:AE1125)/48</f>
        <v>66.194127351477249</v>
      </c>
      <c r="H1125" s="2">
        <f>$M$9*($F$7+273)^4*H$27*(1-$H$1061)</f>
        <v>0</v>
      </c>
      <c r="I1125" s="2">
        <f t="shared" ref="I1125:AE1125" si="368">$M$9*($F$7+273)^4*I$27*(1-$H$1061)</f>
        <v>0</v>
      </c>
      <c r="J1125" s="2">
        <f t="shared" si="368"/>
        <v>0</v>
      </c>
      <c r="K1125" s="2">
        <f t="shared" si="368"/>
        <v>0</v>
      </c>
      <c r="L1125" s="2">
        <f t="shared" si="368"/>
        <v>0</v>
      </c>
      <c r="M1125" s="2">
        <f t="shared" si="368"/>
        <v>0</v>
      </c>
      <c r="N1125" s="2">
        <f t="shared" si="368"/>
        <v>0</v>
      </c>
      <c r="O1125" s="2">
        <f t="shared" si="368"/>
        <v>0</v>
      </c>
      <c r="P1125" s="2">
        <f t="shared" si="368"/>
        <v>264.77650940590894</v>
      </c>
      <c r="Q1125" s="2">
        <f t="shared" si="368"/>
        <v>264.77650940590894</v>
      </c>
      <c r="R1125" s="2">
        <f t="shared" si="368"/>
        <v>264.77650940590894</v>
      </c>
      <c r="S1125" s="2">
        <f t="shared" si="368"/>
        <v>264.77650940590894</v>
      </c>
      <c r="T1125" s="2">
        <f t="shared" si="368"/>
        <v>264.77650940590894</v>
      </c>
      <c r="U1125" s="2">
        <f t="shared" si="368"/>
        <v>264.77650940590894</v>
      </c>
      <c r="V1125" s="2">
        <f t="shared" si="368"/>
        <v>264.77650940590894</v>
      </c>
      <c r="W1125" s="2">
        <f t="shared" si="368"/>
        <v>264.77650940590894</v>
      </c>
      <c r="X1125" s="2">
        <f t="shared" si="368"/>
        <v>264.77650940590894</v>
      </c>
      <c r="Y1125" s="2">
        <f t="shared" si="368"/>
        <v>264.77650940590894</v>
      </c>
      <c r="Z1125" s="2">
        <f t="shared" si="368"/>
        <v>264.77650940590894</v>
      </c>
      <c r="AA1125" s="2">
        <f t="shared" si="368"/>
        <v>264.77650940590894</v>
      </c>
      <c r="AB1125" s="2">
        <f t="shared" si="368"/>
        <v>0</v>
      </c>
      <c r="AC1125" s="2">
        <f t="shared" si="368"/>
        <v>0</v>
      </c>
      <c r="AD1125" s="2">
        <f t="shared" si="368"/>
        <v>0</v>
      </c>
      <c r="AE1125" s="2">
        <f t="shared" si="368"/>
        <v>0</v>
      </c>
      <c r="AF1125" s="2"/>
    </row>
    <row r="1126" spans="1:33">
      <c r="A1126" s="14"/>
      <c r="B1126" t="s">
        <v>232</v>
      </c>
      <c r="D1126" t="s">
        <v>744</v>
      </c>
      <c r="E1126" s="30"/>
      <c r="F1126" t="s">
        <v>618</v>
      </c>
      <c r="H1126" s="2" t="s">
        <v>860</v>
      </c>
      <c r="I1126" s="2"/>
      <c r="J1126" s="2" t="s">
        <v>233</v>
      </c>
      <c r="K1126" s="9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</row>
    <row r="1127" spans="1:33">
      <c r="A1127" s="20" t="s">
        <v>914</v>
      </c>
      <c r="B1127" s="11"/>
      <c r="C1127" s="11"/>
      <c r="D1127" s="11"/>
      <c r="E1127" s="27"/>
      <c r="F1127" s="6"/>
      <c r="G1127" s="19">
        <f>SUM(H1127:AE1127)/24</f>
        <v>12.551783676120003</v>
      </c>
      <c r="H1127" s="24">
        <f t="shared" ref="H1127:AE1127" si="369">$M$9*($F$9+273)^4*$F$11*$H$18</f>
        <v>12.551783676119999</v>
      </c>
      <c r="I1127" s="24">
        <f t="shared" si="369"/>
        <v>12.551783676119999</v>
      </c>
      <c r="J1127" s="24">
        <f t="shared" si="369"/>
        <v>12.551783676119999</v>
      </c>
      <c r="K1127" s="24">
        <f t="shared" si="369"/>
        <v>12.551783676119999</v>
      </c>
      <c r="L1127" s="24">
        <f t="shared" si="369"/>
        <v>12.551783676119999</v>
      </c>
      <c r="M1127" s="24">
        <f t="shared" si="369"/>
        <v>12.551783676119999</v>
      </c>
      <c r="N1127" s="24">
        <f t="shared" si="369"/>
        <v>12.551783676119999</v>
      </c>
      <c r="O1127" s="24">
        <f t="shared" si="369"/>
        <v>12.551783676119999</v>
      </c>
      <c r="P1127" s="24">
        <f t="shared" si="369"/>
        <v>12.551783676119999</v>
      </c>
      <c r="Q1127" s="24">
        <f t="shared" si="369"/>
        <v>12.551783676119999</v>
      </c>
      <c r="R1127" s="24">
        <f t="shared" si="369"/>
        <v>12.551783676119999</v>
      </c>
      <c r="S1127" s="24">
        <f t="shared" si="369"/>
        <v>12.551783676119999</v>
      </c>
      <c r="T1127" s="24">
        <f t="shared" si="369"/>
        <v>12.551783676119999</v>
      </c>
      <c r="U1127" s="24">
        <f t="shared" si="369"/>
        <v>12.551783676119999</v>
      </c>
      <c r="V1127" s="24">
        <f t="shared" si="369"/>
        <v>12.551783676119999</v>
      </c>
      <c r="W1127" s="24">
        <f t="shared" si="369"/>
        <v>12.551783676119999</v>
      </c>
      <c r="X1127" s="24">
        <f t="shared" si="369"/>
        <v>12.551783676119999</v>
      </c>
      <c r="Y1127" s="24">
        <f t="shared" si="369"/>
        <v>12.551783676119999</v>
      </c>
      <c r="Z1127" s="24">
        <f t="shared" si="369"/>
        <v>12.551783676119999</v>
      </c>
      <c r="AA1127" s="24">
        <f t="shared" si="369"/>
        <v>12.551783676119999</v>
      </c>
      <c r="AB1127" s="24">
        <f t="shared" si="369"/>
        <v>12.551783676119999</v>
      </c>
      <c r="AC1127" s="24">
        <f t="shared" si="369"/>
        <v>12.551783676119999</v>
      </c>
      <c r="AD1127" s="24">
        <f t="shared" si="369"/>
        <v>12.551783676119999</v>
      </c>
      <c r="AE1127" s="24">
        <f t="shared" si="369"/>
        <v>12.551783676119999</v>
      </c>
      <c r="AF1127" s="28"/>
      <c r="AG1127" s="11"/>
    </row>
    <row r="1128" spans="1:33">
      <c r="A1128" s="20"/>
      <c r="B1128" s="5" t="s">
        <v>272</v>
      </c>
      <c r="C1128" s="11"/>
      <c r="D1128" t="s">
        <v>743</v>
      </c>
      <c r="E1128" s="27"/>
      <c r="F1128" s="6"/>
      <c r="G1128" s="28"/>
      <c r="H1128" t="s">
        <v>717</v>
      </c>
      <c r="I1128" s="29"/>
      <c r="J1128" s="11"/>
      <c r="K1128" s="2" t="s">
        <v>273</v>
      </c>
      <c r="L1128" s="11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  <c r="AE1128" s="28"/>
      <c r="AF1128" s="28"/>
      <c r="AG1128" s="11"/>
    </row>
    <row r="1129" spans="1:33">
      <c r="A1129" s="20"/>
      <c r="B1129" s="27" t="s">
        <v>925</v>
      </c>
      <c r="C1129" s="11" t="s">
        <v>266</v>
      </c>
      <c r="E1129" s="27"/>
      <c r="F1129" s="6"/>
      <c r="G1129" s="28"/>
      <c r="I1129" s="29"/>
      <c r="J1129" s="11"/>
      <c r="K1129" s="2"/>
      <c r="L1129" s="11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  <c r="AE1129" s="28"/>
      <c r="AF1129" s="28"/>
      <c r="AG1129" s="11"/>
    </row>
    <row r="1130" spans="1:33">
      <c r="A1130" s="20"/>
      <c r="B1130" s="14"/>
      <c r="C1130" t="s">
        <v>274</v>
      </c>
      <c r="E1130" s="27"/>
      <c r="F1130" s="6"/>
      <c r="G1130" s="28"/>
      <c r="I1130" s="29"/>
      <c r="J1130" s="11"/>
      <c r="K1130" s="2"/>
      <c r="L1130" s="11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8"/>
      <c r="AF1130" s="28"/>
      <c r="AG1130" s="11"/>
    </row>
    <row r="1131" spans="1:33">
      <c r="A1131" s="3"/>
      <c r="B1131" s="16" t="s">
        <v>333</v>
      </c>
      <c r="E1131" s="12"/>
      <c r="F1131" s="6"/>
      <c r="G1131" s="32">
        <f>G1102+G1108+G1113+G1119+G1121+G1123+G1125+G1127</f>
        <v>292.15181346639514</v>
      </c>
      <c r="H1131" s="2"/>
      <c r="I1131" s="29"/>
      <c r="K1131" s="10"/>
      <c r="L1131" s="3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</row>
    <row r="1132" spans="1:33">
      <c r="A1132" s="20"/>
      <c r="B1132" s="16" t="s">
        <v>725</v>
      </c>
      <c r="E1132" s="30"/>
      <c r="F1132" s="6"/>
      <c r="G1132" s="32">
        <f>G1099-G1131</f>
        <v>12.370618747856042</v>
      </c>
      <c r="H1132" s="33"/>
      <c r="I1132" s="86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</row>
    <row r="1133" spans="1:33">
      <c r="A1133" s="39" t="s">
        <v>514</v>
      </c>
      <c r="B1133" s="16"/>
      <c r="E1133" s="30"/>
      <c r="F1133" s="12"/>
      <c r="G1133" s="32"/>
      <c r="H1133" s="33"/>
      <c r="I1133" s="3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</row>
    <row r="1134" spans="1:33">
      <c r="A1134" s="3" t="s">
        <v>977</v>
      </c>
      <c r="E1134" s="12"/>
      <c r="F1134" s="6"/>
      <c r="G1134" s="87" t="s">
        <v>535</v>
      </c>
      <c r="H1134" s="21"/>
      <c r="I1134" s="2"/>
      <c r="J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</row>
    <row r="1135" spans="1:33">
      <c r="A1135" s="20" t="s">
        <v>935</v>
      </c>
      <c r="B1135" s="11"/>
      <c r="C1135" s="11"/>
      <c r="E1135" s="14" t="s">
        <v>563</v>
      </c>
      <c r="F1135" s="31">
        <f>$F$15</f>
        <v>0.7</v>
      </c>
      <c r="G1135" s="19">
        <f>SUM(H1135:AE1135)/48</f>
        <v>26.434753809568562</v>
      </c>
      <c r="H1135" s="2">
        <f>H$71*$F$15</f>
        <v>4.5092683260264277</v>
      </c>
      <c r="I1135" s="2">
        <f t="shared" ref="I1135:AE1135" si="370">I$71*$F$15</f>
        <v>15.364310918089604</v>
      </c>
      <c r="J1135" s="2">
        <f t="shared" si="370"/>
        <v>26.050427872883265</v>
      </c>
      <c r="K1135" s="2">
        <f t="shared" si="370"/>
        <v>36.399517373939482</v>
      </c>
      <c r="L1135" s="2">
        <f t="shared" si="370"/>
        <v>45.91027118207402</v>
      </c>
      <c r="M1135" s="2">
        <f t="shared" si="370"/>
        <v>54.749546804544856</v>
      </c>
      <c r="N1135" s="2">
        <f t="shared" si="370"/>
        <v>62.584254360323889</v>
      </c>
      <c r="O1135" s="2">
        <f t="shared" si="370"/>
        <v>69.248794024673487</v>
      </c>
      <c r="P1135" s="2">
        <f t="shared" si="370"/>
        <v>74.911011841008516</v>
      </c>
      <c r="Q1135" s="2">
        <f t="shared" si="370"/>
        <v>79.072735603606205</v>
      </c>
      <c r="R1135" s="2">
        <f t="shared" si="370"/>
        <v>82.06824912779534</v>
      </c>
      <c r="S1135" s="2">
        <f t="shared" si="370"/>
        <v>83.565703994680405</v>
      </c>
      <c r="T1135" s="2">
        <f t="shared" si="370"/>
        <v>83.565703994680405</v>
      </c>
      <c r="U1135" s="2">
        <f t="shared" si="370"/>
        <v>82.06824912779534</v>
      </c>
      <c r="V1135" s="2">
        <f t="shared" si="370"/>
        <v>79.072735603606205</v>
      </c>
      <c r="W1135" s="2">
        <f t="shared" si="370"/>
        <v>74.911011841008516</v>
      </c>
      <c r="X1135" s="2">
        <f t="shared" si="370"/>
        <v>69.248794024673487</v>
      </c>
      <c r="Y1135" s="2">
        <f t="shared" si="370"/>
        <v>62.584254360323889</v>
      </c>
      <c r="Z1135" s="2">
        <f t="shared" si="370"/>
        <v>54.749546804544856</v>
      </c>
      <c r="AA1135" s="2">
        <f t="shared" si="370"/>
        <v>45.91027118207402</v>
      </c>
      <c r="AB1135" s="2">
        <f t="shared" si="370"/>
        <v>36.399517373939482</v>
      </c>
      <c r="AC1135" s="2">
        <f t="shared" si="370"/>
        <v>26.050427872883265</v>
      </c>
      <c r="AD1135" s="2">
        <f t="shared" si="370"/>
        <v>15.364310918089604</v>
      </c>
      <c r="AE1135" s="2">
        <f t="shared" si="370"/>
        <v>4.5092683260264277</v>
      </c>
      <c r="AF1135" s="28"/>
      <c r="AG1135" s="11"/>
    </row>
    <row r="1136" spans="1:33">
      <c r="A1136" s="3"/>
      <c r="B1136" s="5" t="s">
        <v>234</v>
      </c>
      <c r="C1136" s="11"/>
      <c r="D1136" t="s">
        <v>215</v>
      </c>
      <c r="F1136" s="27"/>
      <c r="G1136" s="2"/>
      <c r="H1136" s="2" t="s">
        <v>1019</v>
      </c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8"/>
      <c r="AG1136" s="11"/>
    </row>
    <row r="1137" spans="1:33">
      <c r="A1137" s="20" t="s">
        <v>936</v>
      </c>
      <c r="B1137" s="11"/>
      <c r="C1137" s="11"/>
      <c r="D1137" s="24" t="s">
        <v>1013</v>
      </c>
      <c r="E1137" s="27"/>
      <c r="F1137" s="6" t="s">
        <v>1049</v>
      </c>
      <c r="G1137" s="19">
        <f>SUM(H1137:AE1137)/24</f>
        <v>294.0451576320001</v>
      </c>
      <c r="H1137" s="2">
        <f>$M$9*($F$7+273)^4</f>
        <v>294.04515763199998</v>
      </c>
      <c r="I1137" s="2">
        <f t="shared" ref="I1137:AE1137" si="371">$M$9*($F$7+273)^4</f>
        <v>294.04515763199998</v>
      </c>
      <c r="J1137" s="2">
        <f t="shared" si="371"/>
        <v>294.04515763199998</v>
      </c>
      <c r="K1137" s="2">
        <f t="shared" si="371"/>
        <v>294.04515763199998</v>
      </c>
      <c r="L1137" s="2">
        <f t="shared" si="371"/>
        <v>294.04515763199998</v>
      </c>
      <c r="M1137" s="2">
        <f t="shared" si="371"/>
        <v>294.04515763199998</v>
      </c>
      <c r="N1137" s="2">
        <f t="shared" si="371"/>
        <v>294.04515763199998</v>
      </c>
      <c r="O1137" s="2">
        <f t="shared" si="371"/>
        <v>294.04515763199998</v>
      </c>
      <c r="P1137" s="2">
        <f t="shared" si="371"/>
        <v>294.04515763199998</v>
      </c>
      <c r="Q1137" s="2">
        <f t="shared" si="371"/>
        <v>294.04515763199998</v>
      </c>
      <c r="R1137" s="2">
        <f t="shared" si="371"/>
        <v>294.04515763199998</v>
      </c>
      <c r="S1137" s="2">
        <f t="shared" si="371"/>
        <v>294.04515763199998</v>
      </c>
      <c r="T1137" s="2">
        <f t="shared" si="371"/>
        <v>294.04515763199998</v>
      </c>
      <c r="U1137" s="2">
        <f t="shared" si="371"/>
        <v>294.04515763199998</v>
      </c>
      <c r="V1137" s="2">
        <f t="shared" si="371"/>
        <v>294.04515763199998</v>
      </c>
      <c r="W1137" s="2">
        <f t="shared" si="371"/>
        <v>294.04515763199998</v>
      </c>
      <c r="X1137" s="2">
        <f t="shared" si="371"/>
        <v>294.04515763199998</v>
      </c>
      <c r="Y1137" s="2">
        <f t="shared" si="371"/>
        <v>294.04515763199998</v>
      </c>
      <c r="Z1137" s="2">
        <f t="shared" si="371"/>
        <v>294.04515763199998</v>
      </c>
      <c r="AA1137" s="2">
        <f t="shared" si="371"/>
        <v>294.04515763199998</v>
      </c>
      <c r="AB1137" s="2">
        <f t="shared" si="371"/>
        <v>294.04515763199998</v>
      </c>
      <c r="AC1137" s="2">
        <f t="shared" si="371"/>
        <v>294.04515763199998</v>
      </c>
      <c r="AD1137" s="2">
        <f t="shared" si="371"/>
        <v>294.04515763199998</v>
      </c>
      <c r="AE1137" s="2">
        <f t="shared" si="371"/>
        <v>294.04515763199998</v>
      </c>
      <c r="AF1137" s="28"/>
      <c r="AG1137" s="11"/>
    </row>
    <row r="1138" spans="1:33">
      <c r="A1138" s="20"/>
      <c r="B1138" s="16" t="s">
        <v>729</v>
      </c>
      <c r="C1138" s="11"/>
      <c r="D1138" s="11"/>
      <c r="E1138" s="21"/>
      <c r="F1138" s="21"/>
      <c r="G1138" s="82">
        <f>G1135+G1137</f>
        <v>320.47991144156867</v>
      </c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  <c r="AA1138" s="24"/>
      <c r="AB1138" s="24"/>
      <c r="AC1138" s="24"/>
      <c r="AD1138" s="24"/>
      <c r="AE1138" s="24"/>
      <c r="AF1138" s="28"/>
      <c r="AG1138" s="11"/>
    </row>
    <row r="1139" spans="1:33">
      <c r="A1139" s="39" t="s">
        <v>514</v>
      </c>
      <c r="B1139" s="16"/>
      <c r="C1139" s="11"/>
      <c r="D1139" s="11"/>
      <c r="E1139" s="21"/>
      <c r="F1139" s="21"/>
      <c r="G1139" s="82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  <c r="AE1139" s="24"/>
      <c r="AF1139" s="28"/>
      <c r="AG1139" s="11"/>
    </row>
    <row r="1140" spans="1:33">
      <c r="A1140" s="3" t="s">
        <v>329</v>
      </c>
      <c r="B1140" s="16"/>
      <c r="C1140" s="11"/>
      <c r="D1140" s="11"/>
      <c r="E1140" s="21"/>
      <c r="F1140" s="21"/>
      <c r="G1140" s="82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4"/>
      <c r="AE1140" s="24"/>
      <c r="AF1140" s="28"/>
      <c r="AG1140" s="11"/>
    </row>
    <row r="1141" spans="1:33">
      <c r="A1141" s="3" t="s">
        <v>877</v>
      </c>
      <c r="G1141" s="19">
        <f>SUM(H1141:AE1141)/48</f>
        <v>10.23581618438083</v>
      </c>
      <c r="H1141" s="24">
        <f>H$71*H$1060*$F$16</f>
        <v>3.2209059471617345</v>
      </c>
      <c r="I1141" s="24">
        <f t="shared" ref="I1141:AE1141" si="372">I$71*I$1060*$F$16</f>
        <v>10.514819531888929</v>
      </c>
      <c r="J1141" s="24">
        <f t="shared" si="372"/>
        <v>15.749829036260534</v>
      </c>
      <c r="K1141" s="24">
        <f t="shared" si="372"/>
        <v>18.993326385787672</v>
      </c>
      <c r="L1141" s="24">
        <f t="shared" si="372"/>
        <v>21.019960281184041</v>
      </c>
      <c r="M1141" s="24">
        <f t="shared" si="372"/>
        <v>23.065538213451799</v>
      </c>
      <c r="N1141" s="24">
        <f t="shared" si="372"/>
        <v>24.396229132337925</v>
      </c>
      <c r="O1141" s="24">
        <f t="shared" si="372"/>
        <v>25.246433580104192</v>
      </c>
      <c r="P1141" s="24">
        <f t="shared" si="372"/>
        <v>25.703703246652008</v>
      </c>
      <c r="Q1141" s="24">
        <f t="shared" si="372"/>
        <v>25.884394600325464</v>
      </c>
      <c r="R1141" s="24">
        <f t="shared" si="372"/>
        <v>25.932902039538789</v>
      </c>
      <c r="S1141" s="24">
        <f t="shared" si="372"/>
        <v>25.931546430446875</v>
      </c>
      <c r="T1141" s="24">
        <f t="shared" si="372"/>
        <v>25.931546430446875</v>
      </c>
      <c r="U1141" s="24">
        <f t="shared" si="372"/>
        <v>25.932902039538789</v>
      </c>
      <c r="V1141" s="24">
        <f t="shared" si="372"/>
        <v>25.884394600325464</v>
      </c>
      <c r="W1141" s="24">
        <f t="shared" si="372"/>
        <v>25.703703246652008</v>
      </c>
      <c r="X1141" s="24">
        <f t="shared" si="372"/>
        <v>25.246433580104192</v>
      </c>
      <c r="Y1141" s="24">
        <f t="shared" si="372"/>
        <v>24.396229132337925</v>
      </c>
      <c r="Z1141" s="24">
        <f t="shared" si="372"/>
        <v>23.065538213451799</v>
      </c>
      <c r="AA1141" s="24">
        <f t="shared" si="372"/>
        <v>21.019960281184041</v>
      </c>
      <c r="AB1141" s="24">
        <f t="shared" si="372"/>
        <v>18.993326385787672</v>
      </c>
      <c r="AC1141" s="24">
        <f t="shared" si="372"/>
        <v>15.749829036260534</v>
      </c>
      <c r="AD1141" s="24">
        <f t="shared" si="372"/>
        <v>10.514819531888929</v>
      </c>
      <c r="AE1141" s="24">
        <f t="shared" si="372"/>
        <v>3.2209059471617345</v>
      </c>
      <c r="AF1141" s="28"/>
      <c r="AG1141" s="11"/>
    </row>
    <row r="1142" spans="1:33">
      <c r="B1142" s="5" t="s">
        <v>197</v>
      </c>
      <c r="D1142" t="s">
        <v>221</v>
      </c>
      <c r="G1142" t="s">
        <v>894</v>
      </c>
      <c r="J1142" s="2"/>
      <c r="K1142" s="2" t="s">
        <v>235</v>
      </c>
      <c r="L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</row>
    <row r="1143" spans="1:33">
      <c r="A1143" t="s">
        <v>879</v>
      </c>
      <c r="C1143" s="11"/>
      <c r="G1143" s="98">
        <f>SUM(H1143:AE1143)/48</f>
        <v>27.323401505600927</v>
      </c>
      <c r="H1143" s="97">
        <f>H$71*(1-($F$16+$F$13)*H$1060)</f>
        <v>3.1564878282184998</v>
      </c>
      <c r="I1143" s="97">
        <f t="shared" ref="I1143:AE1143" si="373">I$71*(1-($F$16+$F$13)*I$1060)</f>
        <v>11.223899674744159</v>
      </c>
      <c r="J1143" s="97">
        <f t="shared" si="373"/>
        <v>21.150071344276061</v>
      </c>
      <c r="K1143" s="97">
        <f t="shared" si="373"/>
        <v>32.626117620695844</v>
      </c>
      <c r="L1143" s="97">
        <f t="shared" si="373"/>
        <v>44.145742201869453</v>
      </c>
      <c r="M1143" s="97">
        <f t="shared" si="373"/>
        <v>54.686789314486106</v>
      </c>
      <c r="N1143" s="97">
        <f t="shared" si="373"/>
        <v>64.521923942620873</v>
      </c>
      <c r="O1143" s="97">
        <f t="shared" si="373"/>
        <v>73.175486354970147</v>
      </c>
      <c r="P1143" s="97">
        <f t="shared" si="373"/>
        <v>80.797953889855691</v>
      </c>
      <c r="Q1143" s="97">
        <f t="shared" si="373"/>
        <v>86.558968369962614</v>
      </c>
      <c r="R1143" s="97">
        <f t="shared" si="373"/>
        <v>90.788795816520945</v>
      </c>
      <c r="S1143" s="97">
        <f t="shared" si="373"/>
        <v>92.929399776201919</v>
      </c>
      <c r="T1143" s="97">
        <f t="shared" si="373"/>
        <v>92.929399776201919</v>
      </c>
      <c r="U1143" s="97">
        <f t="shared" si="373"/>
        <v>90.788795816520945</v>
      </c>
      <c r="V1143" s="97">
        <f t="shared" si="373"/>
        <v>86.558968369962614</v>
      </c>
      <c r="W1143" s="97">
        <f t="shared" si="373"/>
        <v>80.797953889855691</v>
      </c>
      <c r="X1143" s="97">
        <f t="shared" si="373"/>
        <v>73.175486354970147</v>
      </c>
      <c r="Y1143" s="97">
        <f t="shared" si="373"/>
        <v>64.521923942620873</v>
      </c>
      <c r="Z1143" s="97">
        <f t="shared" si="373"/>
        <v>54.686789314486106</v>
      </c>
      <c r="AA1143" s="97">
        <f t="shared" si="373"/>
        <v>44.145742201869453</v>
      </c>
      <c r="AB1143" s="97">
        <f t="shared" si="373"/>
        <v>32.626117620695844</v>
      </c>
      <c r="AC1143" s="97">
        <f t="shared" si="373"/>
        <v>21.150071344276061</v>
      </c>
      <c r="AD1143" s="97">
        <f t="shared" si="373"/>
        <v>11.223899674744159</v>
      </c>
      <c r="AE1143" s="97">
        <f t="shared" si="373"/>
        <v>3.1564878282184998</v>
      </c>
      <c r="AF1143" s="28"/>
      <c r="AG1143" s="11"/>
    </row>
    <row r="1144" spans="1:33">
      <c r="B1144" s="24" t="s">
        <v>200</v>
      </c>
      <c r="D1144" s="2" t="s">
        <v>201</v>
      </c>
      <c r="E1144" s="106" t="s">
        <v>970</v>
      </c>
      <c r="G1144" t="s">
        <v>853</v>
      </c>
      <c r="I1144" t="s">
        <v>219</v>
      </c>
      <c r="AF1144" s="28"/>
      <c r="AG1144" s="11"/>
    </row>
    <row r="1145" spans="1:33">
      <c r="A1145" t="s">
        <v>895</v>
      </c>
      <c r="C1145" s="11"/>
      <c r="D1145" s="24"/>
      <c r="G1145" s="97">
        <f>SUM(H1145:AE1145)/48</f>
        <v>19.12638105392065</v>
      </c>
      <c r="H1145" s="97">
        <f>H1143*$F$15</f>
        <v>2.2095414797529496</v>
      </c>
      <c r="I1145" s="97">
        <f t="shared" ref="I1145:AE1145" si="374">I1143*$F$15</f>
        <v>7.8567297723209109</v>
      </c>
      <c r="J1145" s="97">
        <f t="shared" si="374"/>
        <v>14.805049940993241</v>
      </c>
      <c r="K1145" s="97">
        <f t="shared" si="374"/>
        <v>22.83828233448709</v>
      </c>
      <c r="L1145" s="97">
        <f t="shared" si="374"/>
        <v>30.902019541308615</v>
      </c>
      <c r="M1145" s="97">
        <f t="shared" si="374"/>
        <v>38.280752520140268</v>
      </c>
      <c r="N1145" s="97">
        <f t="shared" si="374"/>
        <v>45.165346759834605</v>
      </c>
      <c r="O1145" s="97">
        <f t="shared" si="374"/>
        <v>51.222840448479097</v>
      </c>
      <c r="P1145" s="97">
        <f t="shared" si="374"/>
        <v>56.558567722898978</v>
      </c>
      <c r="Q1145" s="97">
        <f t="shared" si="374"/>
        <v>60.591277858973825</v>
      </c>
      <c r="R1145" s="97">
        <f t="shared" si="374"/>
        <v>63.552157071564658</v>
      </c>
      <c r="S1145" s="97">
        <f t="shared" si="374"/>
        <v>65.050579843341339</v>
      </c>
      <c r="T1145" s="97">
        <f t="shared" si="374"/>
        <v>65.050579843341339</v>
      </c>
      <c r="U1145" s="97">
        <f t="shared" si="374"/>
        <v>63.552157071564658</v>
      </c>
      <c r="V1145" s="97">
        <f t="shared" si="374"/>
        <v>60.591277858973825</v>
      </c>
      <c r="W1145" s="97">
        <f t="shared" si="374"/>
        <v>56.558567722898978</v>
      </c>
      <c r="X1145" s="97">
        <f t="shared" si="374"/>
        <v>51.222840448479097</v>
      </c>
      <c r="Y1145" s="97">
        <f t="shared" si="374"/>
        <v>45.165346759834605</v>
      </c>
      <c r="Z1145" s="97">
        <f t="shared" si="374"/>
        <v>38.280752520140268</v>
      </c>
      <c r="AA1145" s="97">
        <f t="shared" si="374"/>
        <v>30.902019541308615</v>
      </c>
      <c r="AB1145" s="97">
        <f t="shared" si="374"/>
        <v>22.83828233448709</v>
      </c>
      <c r="AC1145" s="97">
        <f t="shared" si="374"/>
        <v>14.805049940993241</v>
      </c>
      <c r="AD1145" s="97">
        <f t="shared" si="374"/>
        <v>7.8567297723209109</v>
      </c>
      <c r="AE1145" s="97">
        <f t="shared" si="374"/>
        <v>2.2095414797529496</v>
      </c>
      <c r="AF1145" s="28"/>
      <c r="AG1145" s="11"/>
    </row>
    <row r="1146" spans="1:33">
      <c r="B1146" s="24" t="s">
        <v>938</v>
      </c>
      <c r="C1146" s="14" t="s">
        <v>897</v>
      </c>
      <c r="D1146" s="24" t="s">
        <v>236</v>
      </c>
      <c r="I1146" s="24"/>
      <c r="AF1146" s="28"/>
      <c r="AG1146" s="11"/>
    </row>
    <row r="1147" spans="1:33">
      <c r="A1147" s="20" t="s">
        <v>896</v>
      </c>
      <c r="B1147" s="11"/>
      <c r="C1147" s="11"/>
      <c r="E1147" s="14" t="s">
        <v>563</v>
      </c>
      <c r="F1147" s="31">
        <f>$F$15</f>
        <v>0.7</v>
      </c>
      <c r="G1147" s="19">
        <f>SUM(H1147:AE1147)/48</f>
        <v>18.1554427975626</v>
      </c>
      <c r="H1147" s="2">
        <f>H1145*(1-($F$16+$F$13)*$H$1061)</f>
        <v>2.097375548014266</v>
      </c>
      <c r="I1147" s="2">
        <f t="shared" ref="I1147:AE1147" si="375">I1145*(1-($F$16+$F$13)*$H$1061)</f>
        <v>7.4578880110746075</v>
      </c>
      <c r="J1147" s="2">
        <f t="shared" si="375"/>
        <v>14.05348123939325</v>
      </c>
      <c r="K1147" s="2">
        <f t="shared" si="375"/>
        <v>21.678911831225353</v>
      </c>
      <c r="L1147" s="2">
        <f t="shared" si="375"/>
        <v>29.333298679437561</v>
      </c>
      <c r="M1147" s="2">
        <f t="shared" si="375"/>
        <v>36.337455092404454</v>
      </c>
      <c r="N1147" s="2">
        <f t="shared" si="375"/>
        <v>42.872557396955564</v>
      </c>
      <c r="O1147" s="2">
        <f t="shared" si="375"/>
        <v>48.622546370339414</v>
      </c>
      <c r="P1147" s="2">
        <f t="shared" si="375"/>
        <v>53.68740893064416</v>
      </c>
      <c r="Q1147" s="2">
        <f t="shared" si="375"/>
        <v>57.515401167557663</v>
      </c>
      <c r="R1147" s="2">
        <f t="shared" si="375"/>
        <v>60.325973278566913</v>
      </c>
      <c r="S1147" s="2">
        <f t="shared" si="375"/>
        <v>61.748329595889167</v>
      </c>
      <c r="T1147" s="2">
        <f t="shared" si="375"/>
        <v>61.748329595889167</v>
      </c>
      <c r="U1147" s="2">
        <f t="shared" si="375"/>
        <v>60.325973278566913</v>
      </c>
      <c r="V1147" s="2">
        <f t="shared" si="375"/>
        <v>57.515401167557663</v>
      </c>
      <c r="W1147" s="2">
        <f t="shared" si="375"/>
        <v>53.68740893064416</v>
      </c>
      <c r="X1147" s="2">
        <f t="shared" si="375"/>
        <v>48.622546370339414</v>
      </c>
      <c r="Y1147" s="2">
        <f t="shared" si="375"/>
        <v>42.872557396955564</v>
      </c>
      <c r="Z1147" s="2">
        <f t="shared" si="375"/>
        <v>36.337455092404454</v>
      </c>
      <c r="AA1147" s="2">
        <f t="shared" si="375"/>
        <v>29.333298679437561</v>
      </c>
      <c r="AB1147" s="2">
        <f t="shared" si="375"/>
        <v>21.678911831225353</v>
      </c>
      <c r="AC1147" s="2">
        <f t="shared" si="375"/>
        <v>14.05348123939325</v>
      </c>
      <c r="AD1147" s="2">
        <f t="shared" si="375"/>
        <v>7.4578880110746075</v>
      </c>
      <c r="AE1147" s="2">
        <f t="shared" si="375"/>
        <v>2.097375548014266</v>
      </c>
      <c r="AF1147" s="28"/>
      <c r="AG1147" s="11"/>
    </row>
    <row r="1148" spans="1:33">
      <c r="A1148" s="3"/>
      <c r="B1148" s="5" t="s">
        <v>237</v>
      </c>
      <c r="C1148" s="11"/>
      <c r="D1148" t="s">
        <v>205</v>
      </c>
      <c r="F1148" s="27"/>
      <c r="G1148" s="2"/>
      <c r="H1148" s="2" t="s">
        <v>898</v>
      </c>
      <c r="I1148" s="2"/>
      <c r="J1148" s="2" t="s">
        <v>899</v>
      </c>
      <c r="K1148" s="2"/>
      <c r="L1148" t="s">
        <v>243</v>
      </c>
      <c r="M1148" s="2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  <c r="AE1148" s="28"/>
      <c r="AF1148" s="28"/>
      <c r="AG1148" s="11"/>
    </row>
    <row r="1149" spans="1:33">
      <c r="A1149" t="s">
        <v>834</v>
      </c>
      <c r="B1149" s="5"/>
      <c r="C1149" s="11"/>
      <c r="D1149" s="5" t="s">
        <v>206</v>
      </c>
      <c r="F1149" t="s">
        <v>244</v>
      </c>
      <c r="G1149" s="97">
        <f>SUM(H1149:AE1149)/48</f>
        <v>0.9519002513314202</v>
      </c>
      <c r="H1149" s="97">
        <f>H1145*$H$1061*$F$16</f>
        <v>0.10996659974380731</v>
      </c>
      <c r="I1149" s="97">
        <f t="shared" ref="I1149:AE1149" si="376">I1145*$H$1061*$F$16</f>
        <v>0.39102133455519916</v>
      </c>
      <c r="J1149" s="97">
        <f t="shared" si="376"/>
        <v>0.73683206039214821</v>
      </c>
      <c r="K1149" s="97">
        <f t="shared" si="376"/>
        <v>1.1366377482958201</v>
      </c>
      <c r="L1149" s="97">
        <f t="shared" si="376"/>
        <v>1.5379616292853442</v>
      </c>
      <c r="M1149" s="97">
        <f t="shared" si="376"/>
        <v>1.9051935566037379</v>
      </c>
      <c r="N1149" s="97">
        <f t="shared" si="376"/>
        <v>2.2478327087049412</v>
      </c>
      <c r="O1149" s="97">
        <f t="shared" si="376"/>
        <v>2.5493079197447841</v>
      </c>
      <c r="P1149" s="97">
        <f t="shared" si="376"/>
        <v>2.8148615610341308</v>
      </c>
      <c r="Q1149" s="97">
        <f t="shared" si="376"/>
        <v>3.0155653837413299</v>
      </c>
      <c r="R1149" s="97">
        <f t="shared" si="376"/>
        <v>3.1629252872526865</v>
      </c>
      <c r="S1149" s="97">
        <f t="shared" si="376"/>
        <v>3.2375002426001629</v>
      </c>
      <c r="T1149" s="97">
        <f t="shared" si="376"/>
        <v>3.2375002426001629</v>
      </c>
      <c r="U1149" s="97">
        <f t="shared" si="376"/>
        <v>3.1629252872526865</v>
      </c>
      <c r="V1149" s="97">
        <f t="shared" si="376"/>
        <v>3.0155653837413299</v>
      </c>
      <c r="W1149" s="97">
        <f t="shared" si="376"/>
        <v>2.8148615610341308</v>
      </c>
      <c r="X1149" s="97">
        <f t="shared" si="376"/>
        <v>2.5493079197447841</v>
      </c>
      <c r="Y1149" s="97">
        <f t="shared" si="376"/>
        <v>2.2478327087049412</v>
      </c>
      <c r="Z1149" s="97">
        <f t="shared" si="376"/>
        <v>1.9051935566037379</v>
      </c>
      <c r="AA1149" s="97">
        <f t="shared" si="376"/>
        <v>1.5379616292853442</v>
      </c>
      <c r="AB1149" s="97">
        <f t="shared" si="376"/>
        <v>1.1366377482958201</v>
      </c>
      <c r="AC1149" s="97">
        <f t="shared" si="376"/>
        <v>0.73683206039214821</v>
      </c>
      <c r="AD1149" s="97">
        <f t="shared" si="376"/>
        <v>0.39102133455519916</v>
      </c>
      <c r="AE1149" s="97">
        <f t="shared" si="376"/>
        <v>0.10996659974380731</v>
      </c>
      <c r="AF1149" s="28"/>
      <c r="AG1149" s="11"/>
    </row>
    <row r="1150" spans="1:33">
      <c r="A1150" t="s">
        <v>930</v>
      </c>
      <c r="B1150" s="5"/>
      <c r="C1150" s="11"/>
      <c r="D1150" s="5" t="s">
        <v>238</v>
      </c>
      <c r="G1150" s="97">
        <f>SUM(H1150:AE1150)/48</f>
        <v>0.66633017593199428</v>
      </c>
      <c r="H1150" s="97">
        <f>H1149*$F$15</f>
        <v>7.6976619820665115E-2</v>
      </c>
      <c r="I1150" s="97">
        <f t="shared" ref="I1150:AE1150" si="377">I1149*$F$15</f>
        <v>0.2737149341886394</v>
      </c>
      <c r="J1150" s="97">
        <f t="shared" si="377"/>
        <v>0.51578244227450376</v>
      </c>
      <c r="K1150" s="97">
        <f t="shared" si="377"/>
        <v>0.79564642380707407</v>
      </c>
      <c r="L1150" s="97">
        <f t="shared" si="377"/>
        <v>1.076573140499741</v>
      </c>
      <c r="M1150" s="97">
        <f t="shared" si="377"/>
        <v>1.3336354896226164</v>
      </c>
      <c r="N1150" s="97">
        <f t="shared" si="377"/>
        <v>1.5734828960934588</v>
      </c>
      <c r="O1150" s="97">
        <f t="shared" si="377"/>
        <v>1.7845155438213487</v>
      </c>
      <c r="P1150" s="97">
        <f t="shared" si="377"/>
        <v>1.9704030927238914</v>
      </c>
      <c r="Q1150" s="97">
        <f t="shared" si="377"/>
        <v>2.1108957686189309</v>
      </c>
      <c r="R1150" s="97">
        <f t="shared" si="377"/>
        <v>2.2140477010768804</v>
      </c>
      <c r="S1150" s="97">
        <f t="shared" si="377"/>
        <v>2.2662501698201138</v>
      </c>
      <c r="T1150" s="97">
        <f t="shared" si="377"/>
        <v>2.2662501698201138</v>
      </c>
      <c r="U1150" s="97">
        <f t="shared" si="377"/>
        <v>2.2140477010768804</v>
      </c>
      <c r="V1150" s="97">
        <f t="shared" si="377"/>
        <v>2.1108957686189309</v>
      </c>
      <c r="W1150" s="97">
        <f t="shared" si="377"/>
        <v>1.9704030927238914</v>
      </c>
      <c r="X1150" s="97">
        <f t="shared" si="377"/>
        <v>1.7845155438213487</v>
      </c>
      <c r="Y1150" s="97">
        <f t="shared" si="377"/>
        <v>1.5734828960934588</v>
      </c>
      <c r="Z1150" s="97">
        <f t="shared" si="377"/>
        <v>1.3336354896226164</v>
      </c>
      <c r="AA1150" s="97">
        <f t="shared" si="377"/>
        <v>1.076573140499741</v>
      </c>
      <c r="AB1150" s="97">
        <f t="shared" si="377"/>
        <v>0.79564642380707407</v>
      </c>
      <c r="AC1150" s="97">
        <f t="shared" si="377"/>
        <v>0.51578244227450376</v>
      </c>
      <c r="AD1150" s="97">
        <f t="shared" si="377"/>
        <v>0.2737149341886394</v>
      </c>
      <c r="AE1150" s="97">
        <f t="shared" si="377"/>
        <v>7.6976619820665115E-2</v>
      </c>
      <c r="AF1150" s="28"/>
      <c r="AG1150" s="11"/>
    </row>
    <row r="1151" spans="1:33">
      <c r="A1151" s="20" t="s">
        <v>835</v>
      </c>
      <c r="B1151" s="5"/>
      <c r="C1151" s="11"/>
      <c r="G1151" s="19">
        <f>SUM(H1151:AE1151)/48</f>
        <v>0.63250435925740989</v>
      </c>
      <c r="H1151" s="24">
        <f>H1150*(1-($F$16+$F$13)*$H$1061)</f>
        <v>7.3068951934183654E-2</v>
      </c>
      <c r="I1151" s="24">
        <f t="shared" ref="I1151:AE1151" si="378">I1150*(1-($F$16+$F$13)*$H$1061)</f>
        <v>0.25981997412321717</v>
      </c>
      <c r="J1151" s="24">
        <f t="shared" si="378"/>
        <v>0.489599083083328</v>
      </c>
      <c r="K1151" s="24">
        <f t="shared" si="378"/>
        <v>0.75525595217363339</v>
      </c>
      <c r="L1151" s="24">
        <f t="shared" si="378"/>
        <v>1.0219216073669501</v>
      </c>
      <c r="M1151" s="24">
        <f t="shared" si="378"/>
        <v>1.2659343540413002</v>
      </c>
      <c r="N1151" s="24">
        <f t="shared" si="378"/>
        <v>1.4936060633965054</v>
      </c>
      <c r="O1151" s="24">
        <f t="shared" si="378"/>
        <v>1.693925776437907</v>
      </c>
      <c r="P1151" s="24">
        <f t="shared" si="378"/>
        <v>1.8703768651914394</v>
      </c>
      <c r="Q1151" s="24">
        <f t="shared" si="378"/>
        <v>2.0037375220505704</v>
      </c>
      <c r="R1151" s="24">
        <f t="shared" si="378"/>
        <v>2.1016530139524976</v>
      </c>
      <c r="S1151" s="24">
        <f t="shared" si="378"/>
        <v>2.1512054584263072</v>
      </c>
      <c r="T1151" s="24">
        <f t="shared" si="378"/>
        <v>2.1512054584263072</v>
      </c>
      <c r="U1151" s="24">
        <f t="shared" si="378"/>
        <v>2.1016530139524976</v>
      </c>
      <c r="V1151" s="24">
        <f t="shared" si="378"/>
        <v>2.0037375220505704</v>
      </c>
      <c r="W1151" s="24">
        <f t="shared" si="378"/>
        <v>1.8703768651914394</v>
      </c>
      <c r="X1151" s="24">
        <f t="shared" si="378"/>
        <v>1.693925776437907</v>
      </c>
      <c r="Y1151" s="24">
        <f t="shared" si="378"/>
        <v>1.4936060633965054</v>
      </c>
      <c r="Z1151" s="24">
        <f t="shared" si="378"/>
        <v>1.2659343540413002</v>
      </c>
      <c r="AA1151" s="24">
        <f t="shared" si="378"/>
        <v>1.0219216073669501</v>
      </c>
      <c r="AB1151" s="24">
        <f t="shared" si="378"/>
        <v>0.75525595217363339</v>
      </c>
      <c r="AC1151" s="24">
        <f t="shared" si="378"/>
        <v>0.489599083083328</v>
      </c>
      <c r="AD1151" s="24">
        <f t="shared" si="378"/>
        <v>0.25981997412321717</v>
      </c>
      <c r="AE1151" s="24">
        <f t="shared" si="378"/>
        <v>7.3068951934183654E-2</v>
      </c>
      <c r="AF1151" s="28"/>
      <c r="AG1151" s="11"/>
    </row>
    <row r="1152" spans="1:33">
      <c r="A1152" s="20"/>
      <c r="B1152" s="24" t="s">
        <v>239</v>
      </c>
      <c r="C1152" s="11"/>
      <c r="D1152" t="s">
        <v>205</v>
      </c>
      <c r="G1152" s="27"/>
      <c r="H1152" s="24" t="s">
        <v>900</v>
      </c>
      <c r="K1152" t="s">
        <v>853</v>
      </c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  <c r="AE1152" s="24"/>
      <c r="AF1152" s="28"/>
      <c r="AG1152" s="11"/>
    </row>
    <row r="1153" spans="1:33">
      <c r="A1153" s="100" t="s">
        <v>836</v>
      </c>
      <c r="B1153" s="5"/>
      <c r="C1153" s="11"/>
      <c r="G1153" s="19">
        <f>SUM(H1153:AE1153)/48</f>
        <v>2.2035362559889516E-2</v>
      </c>
      <c r="H1153" s="2">
        <f>H1151^2/H1147</f>
        <v>2.5455964440011321E-3</v>
      </c>
      <c r="I1153" s="2">
        <f t="shared" ref="I1153:AE1153" si="379">I1151^2/I1147</f>
        <v>9.0516804292509398E-3</v>
      </c>
      <c r="J1153" s="2">
        <f t="shared" si="379"/>
        <v>1.7056788853434635E-2</v>
      </c>
      <c r="K1153" s="2">
        <f t="shared" si="379"/>
        <v>2.6311816650875709E-2</v>
      </c>
      <c r="L1153" s="2">
        <f t="shared" si="379"/>
        <v>3.5601988818786165E-2</v>
      </c>
      <c r="M1153" s="2">
        <f t="shared" si="379"/>
        <v>4.4102972667366298E-2</v>
      </c>
      <c r="N1153" s="2">
        <f t="shared" si="379"/>
        <v>5.2034662918737422E-2</v>
      </c>
      <c r="O1153" s="2">
        <f t="shared" si="379"/>
        <v>5.901345672490612E-2</v>
      </c>
      <c r="P1153" s="2">
        <f t="shared" si="379"/>
        <v>6.5160708768095543E-2</v>
      </c>
      <c r="Q1153" s="2">
        <f t="shared" si="379"/>
        <v>6.9806764375627009E-2</v>
      </c>
      <c r="R1153" s="2">
        <f t="shared" si="379"/>
        <v>7.3217971480700583E-2</v>
      </c>
      <c r="S1153" s="2">
        <f t="shared" si="379"/>
        <v>7.4944293305566956E-2</v>
      </c>
      <c r="T1153" s="2">
        <f t="shared" si="379"/>
        <v>7.4944293305566956E-2</v>
      </c>
      <c r="U1153" s="2">
        <f t="shared" si="379"/>
        <v>7.3217971480700583E-2</v>
      </c>
      <c r="V1153" s="2">
        <f t="shared" si="379"/>
        <v>6.9806764375627009E-2</v>
      </c>
      <c r="W1153" s="2">
        <f t="shared" si="379"/>
        <v>6.5160708768095543E-2</v>
      </c>
      <c r="X1153" s="2">
        <f t="shared" si="379"/>
        <v>5.901345672490612E-2</v>
      </c>
      <c r="Y1153" s="2">
        <f t="shared" si="379"/>
        <v>5.2034662918737422E-2</v>
      </c>
      <c r="Z1153" s="2">
        <f t="shared" si="379"/>
        <v>4.4102972667366298E-2</v>
      </c>
      <c r="AA1153" s="2">
        <f t="shared" si="379"/>
        <v>3.5601988818786165E-2</v>
      </c>
      <c r="AB1153" s="2">
        <f t="shared" si="379"/>
        <v>2.6311816650875709E-2</v>
      </c>
      <c r="AC1153" s="2">
        <f t="shared" si="379"/>
        <v>1.7056788853434635E-2</v>
      </c>
      <c r="AD1153" s="2">
        <f t="shared" si="379"/>
        <v>9.0516804292509398E-3</v>
      </c>
      <c r="AE1153" s="2">
        <f t="shared" si="379"/>
        <v>2.5455964440011321E-3</v>
      </c>
      <c r="AF1153" s="28"/>
      <c r="AG1153" s="11"/>
    </row>
    <row r="1154" spans="1:33">
      <c r="A1154" s="100"/>
      <c r="B1154" s="24" t="s">
        <v>240</v>
      </c>
      <c r="C1154" s="11"/>
      <c r="G1154" s="19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8"/>
      <c r="AG1154" s="11"/>
    </row>
    <row r="1155" spans="1:33">
      <c r="A1155" s="20" t="s">
        <v>901</v>
      </c>
      <c r="B1155" s="11"/>
      <c r="C1155" s="11"/>
      <c r="D1155" s="24"/>
      <c r="E1155" s="27"/>
      <c r="F1155" s="6"/>
      <c r="G1155" s="19">
        <f>SUM(H1155:AE1155)/24</f>
        <v>264.77650940590888</v>
      </c>
      <c r="H1155" s="2">
        <f>$M$9*($F$7+273)^4*(1-$H$1061)</f>
        <v>264.77650940590894</v>
      </c>
      <c r="I1155" s="2">
        <f t="shared" ref="I1155:AE1155" si="380">$M$9*($F$7+273)^4*(1-$H$1061)</f>
        <v>264.77650940590894</v>
      </c>
      <c r="J1155" s="2">
        <f t="shared" si="380"/>
        <v>264.77650940590894</v>
      </c>
      <c r="K1155" s="2">
        <f t="shared" si="380"/>
        <v>264.77650940590894</v>
      </c>
      <c r="L1155" s="2">
        <f t="shared" si="380"/>
        <v>264.77650940590894</v>
      </c>
      <c r="M1155" s="2">
        <f t="shared" si="380"/>
        <v>264.77650940590894</v>
      </c>
      <c r="N1155" s="2">
        <f t="shared" si="380"/>
        <v>264.77650940590894</v>
      </c>
      <c r="O1155" s="2">
        <f t="shared" si="380"/>
        <v>264.77650940590894</v>
      </c>
      <c r="P1155" s="2">
        <f t="shared" si="380"/>
        <v>264.77650940590894</v>
      </c>
      <c r="Q1155" s="2">
        <f t="shared" si="380"/>
        <v>264.77650940590894</v>
      </c>
      <c r="R1155" s="2">
        <f t="shared" si="380"/>
        <v>264.77650940590894</v>
      </c>
      <c r="S1155" s="2">
        <f t="shared" si="380"/>
        <v>264.77650940590894</v>
      </c>
      <c r="T1155" s="2">
        <f t="shared" si="380"/>
        <v>264.77650940590894</v>
      </c>
      <c r="U1155" s="2">
        <f t="shared" si="380"/>
        <v>264.77650940590894</v>
      </c>
      <c r="V1155" s="2">
        <f t="shared" si="380"/>
        <v>264.77650940590894</v>
      </c>
      <c r="W1155" s="2">
        <f t="shared" si="380"/>
        <v>264.77650940590894</v>
      </c>
      <c r="X1155" s="2">
        <f t="shared" si="380"/>
        <v>264.77650940590894</v>
      </c>
      <c r="Y1155" s="2">
        <f t="shared" si="380"/>
        <v>264.77650940590894</v>
      </c>
      <c r="Z1155" s="2">
        <f t="shared" si="380"/>
        <v>264.77650940590894</v>
      </c>
      <c r="AA1155" s="2">
        <f t="shared" si="380"/>
        <v>264.77650940590894</v>
      </c>
      <c r="AB1155" s="2">
        <f t="shared" si="380"/>
        <v>264.77650940590894</v>
      </c>
      <c r="AC1155" s="2">
        <f t="shared" si="380"/>
        <v>264.77650940590894</v>
      </c>
      <c r="AD1155" s="2">
        <f t="shared" si="380"/>
        <v>264.77650940590894</v>
      </c>
      <c r="AE1155" s="2">
        <f t="shared" si="380"/>
        <v>264.77650940590894</v>
      </c>
      <c r="AF1155" s="28"/>
      <c r="AG1155" s="11"/>
    </row>
    <row r="1156" spans="1:33">
      <c r="A1156" s="14"/>
      <c r="B1156" s="5" t="s">
        <v>241</v>
      </c>
      <c r="D1156" t="s">
        <v>1056</v>
      </c>
      <c r="E1156" s="12"/>
      <c r="F1156" s="6"/>
      <c r="G1156" s="2"/>
      <c r="H1156" s="2" t="s">
        <v>242</v>
      </c>
      <c r="J1156" s="10"/>
      <c r="K1156" s="9"/>
      <c r="AF1156" s="2"/>
    </row>
    <row r="1157" spans="1:33">
      <c r="A1157" s="20" t="s">
        <v>914</v>
      </c>
      <c r="B1157" s="11"/>
      <c r="C1157" s="11"/>
      <c r="D1157" s="11"/>
      <c r="E1157" s="27"/>
      <c r="F1157" s="6"/>
      <c r="G1157" s="19">
        <f>SUM(H1157:AE1157)/24</f>
        <v>12.551783676120003</v>
      </c>
      <c r="H1157" s="24">
        <f t="shared" ref="H1157:AE1157" si="381">$M$9*($F$9+273)^4*$F$11*$H$18</f>
        <v>12.551783676119999</v>
      </c>
      <c r="I1157" s="24">
        <f t="shared" si="381"/>
        <v>12.551783676119999</v>
      </c>
      <c r="J1157" s="24">
        <f t="shared" si="381"/>
        <v>12.551783676119999</v>
      </c>
      <c r="K1157" s="24">
        <f t="shared" si="381"/>
        <v>12.551783676119999</v>
      </c>
      <c r="L1157" s="24">
        <f t="shared" si="381"/>
        <v>12.551783676119999</v>
      </c>
      <c r="M1157" s="24">
        <f t="shared" si="381"/>
        <v>12.551783676119999</v>
      </c>
      <c r="N1157" s="24">
        <f t="shared" si="381"/>
        <v>12.551783676119999</v>
      </c>
      <c r="O1157" s="24">
        <f t="shared" si="381"/>
        <v>12.551783676119999</v>
      </c>
      <c r="P1157" s="24">
        <f t="shared" si="381"/>
        <v>12.551783676119999</v>
      </c>
      <c r="Q1157" s="24">
        <f t="shared" si="381"/>
        <v>12.551783676119999</v>
      </c>
      <c r="R1157" s="24">
        <f t="shared" si="381"/>
        <v>12.551783676119999</v>
      </c>
      <c r="S1157" s="24">
        <f t="shared" si="381"/>
        <v>12.551783676119999</v>
      </c>
      <c r="T1157" s="24">
        <f t="shared" si="381"/>
        <v>12.551783676119999</v>
      </c>
      <c r="U1157" s="24">
        <f t="shared" si="381"/>
        <v>12.551783676119999</v>
      </c>
      <c r="V1157" s="24">
        <f t="shared" si="381"/>
        <v>12.551783676119999</v>
      </c>
      <c r="W1157" s="24">
        <f t="shared" si="381"/>
        <v>12.551783676119999</v>
      </c>
      <c r="X1157" s="24">
        <f t="shared" si="381"/>
        <v>12.551783676119999</v>
      </c>
      <c r="Y1157" s="24">
        <f t="shared" si="381"/>
        <v>12.551783676119999</v>
      </c>
      <c r="Z1157" s="24">
        <f t="shared" si="381"/>
        <v>12.551783676119999</v>
      </c>
      <c r="AA1157" s="24">
        <f t="shared" si="381"/>
        <v>12.551783676119999</v>
      </c>
      <c r="AB1157" s="24">
        <f t="shared" si="381"/>
        <v>12.551783676119999</v>
      </c>
      <c r="AC1157" s="24">
        <f t="shared" si="381"/>
        <v>12.551783676119999</v>
      </c>
      <c r="AD1157" s="24">
        <f t="shared" si="381"/>
        <v>12.551783676119999</v>
      </c>
      <c r="AE1157" s="24">
        <f t="shared" si="381"/>
        <v>12.551783676119999</v>
      </c>
      <c r="AF1157" s="28"/>
      <c r="AG1157" s="11"/>
    </row>
    <row r="1158" spans="1:33">
      <c r="A1158" s="20"/>
      <c r="B1158" s="5" t="s">
        <v>272</v>
      </c>
      <c r="C1158" s="11"/>
      <c r="D1158" t="s">
        <v>743</v>
      </c>
      <c r="E1158" s="27"/>
      <c r="F1158" s="6"/>
      <c r="G1158" s="28"/>
      <c r="H1158" t="s">
        <v>717</v>
      </c>
      <c r="I1158" s="29"/>
      <c r="J1158" s="11"/>
      <c r="K1158" s="2" t="s">
        <v>273</v>
      </c>
      <c r="L1158" s="11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28"/>
      <c r="AF1158" s="28"/>
      <c r="AG1158" s="11"/>
    </row>
    <row r="1159" spans="1:33">
      <c r="A1159" s="20"/>
      <c r="B1159" s="27" t="s">
        <v>925</v>
      </c>
      <c r="C1159" s="11" t="s">
        <v>266</v>
      </c>
      <c r="E1159" s="27"/>
      <c r="F1159" s="6"/>
      <c r="G1159" s="28"/>
      <c r="I1159" s="29"/>
      <c r="J1159" s="11"/>
      <c r="K1159" s="2"/>
      <c r="L1159" s="11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28"/>
      <c r="AF1159" s="28"/>
      <c r="AG1159" s="11"/>
    </row>
    <row r="1160" spans="1:33">
      <c r="A1160" s="20"/>
      <c r="B1160" s="14"/>
      <c r="C1160" t="s">
        <v>274</v>
      </c>
      <c r="E1160" s="27"/>
      <c r="F1160" s="6"/>
      <c r="G1160" s="28"/>
      <c r="I1160" s="29"/>
      <c r="J1160" s="11"/>
      <c r="K1160" s="2"/>
      <c r="L1160" s="11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F1160" s="28"/>
      <c r="AG1160" s="11"/>
    </row>
    <row r="1161" spans="1:33">
      <c r="A1161" s="20"/>
      <c r="B1161" s="16" t="s">
        <v>334</v>
      </c>
      <c r="C1161" s="11"/>
      <c r="D1161" s="11"/>
      <c r="E1161" s="21"/>
      <c r="F1161" s="21"/>
      <c r="G1161" s="82">
        <f>G1141+G1147+G1151+G1153+G1155+G1157</f>
        <v>306.37409178578963</v>
      </c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/>
      <c r="AE1161" s="24"/>
      <c r="AF1161" s="28"/>
      <c r="AG1161" s="11"/>
    </row>
    <row r="1162" spans="1:33">
      <c r="A1162" s="20"/>
      <c r="B1162" s="16" t="s">
        <v>730</v>
      </c>
      <c r="C1162" s="11"/>
      <c r="D1162" s="11"/>
      <c r="E1162" s="21"/>
      <c r="F1162" s="21"/>
      <c r="G1162" s="82">
        <f>G1138-G1161</f>
        <v>14.105819655779044</v>
      </c>
      <c r="H1162" s="24"/>
      <c r="I1162" s="32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  <c r="AE1162" s="24"/>
      <c r="AF1162" s="28"/>
      <c r="AG1162" s="11"/>
    </row>
  </sheetData>
  <phoneticPr fontId="54" type="noConversion"/>
  <pageMargins left="0.7" right="0.7" top="0.78740157499999996" bottom="0.78740157499999996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Tabelle1</vt:lpstr>
      <vt:lpstr>Tabelle2</vt:lpstr>
      <vt:lpstr>Tabelle3</vt:lpstr>
      <vt:lpstr>Tabelle4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2022-04-05T13:57:46Z</dcterms:modified>
</cp:coreProperties>
</file>